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8810" windowHeight="5970" activeTab="0"/>
  </bookViews>
  <sheets>
    <sheet name="2013_sausio" sheetId="1" r:id="rId1"/>
  </sheets>
  <definedNames/>
  <calcPr fullCalcOnLoad="1"/>
</workbook>
</file>

<file path=xl/sharedStrings.xml><?xml version="1.0" encoding="utf-8"?>
<sst xmlns="http://schemas.openxmlformats.org/spreadsheetml/2006/main" count="2288" uniqueCount="1008">
  <si>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</si>
  <si>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</si>
  <si>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</si>
  <si>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</si>
  <si>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</si>
  <si>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</si>
  <si>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</si>
  <si>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</si>
  <si>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</si>
  <si>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</si>
  <si>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</si>
  <si>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</si>
  <si>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</si>
  <si>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</si>
  <si>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</si>
  <si>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</si>
  <si>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</si>
  <si>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</si>
  <si>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</si>
  <si>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</si>
  <si>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</si>
  <si>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</si>
  <si>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</si>
  <si>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</si>
  <si>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</si>
  <si>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</si>
  <si>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</si>
  <si>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</si>
  <si>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</si>
  <si>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</si>
  <si>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</si>
  <si>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</si>
  <si>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</si>
  <si>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</si>
  <si>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</si>
  <si>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</si>
  <si>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</si>
  <si>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</si>
  <si>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</si>
  <si>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</si>
  <si>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</si>
  <si>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</si>
  <si>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</si>
  <si>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</si>
  <si>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</si>
  <si>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</si>
  <si>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</si>
  <si>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</si>
  <si>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</si>
  <si>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</si>
  <si>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</si>
  <si>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</si>
  <si>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</si>
  <si>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Akmenė (UAB „Akemnės energija“)</t>
  </si>
  <si>
    <t>Prienai (UAB „Prienų energija“)</t>
  </si>
  <si>
    <t>Elektrėnai (UAB „Elektrėnų komunalinis ūkis")</t>
  </si>
  <si>
    <t>Plungė (UAB"Plungės šilumos tinklai")</t>
  </si>
  <si>
    <t>Varėna (UAB "Varėnos šiluma")</t>
  </si>
  <si>
    <t>Klaipėda (AB "Klaipėdos energija")</t>
  </si>
  <si>
    <t>Alytus (UAB „Litesko“ filialas "Alytaus energija")</t>
  </si>
  <si>
    <t>Biržai (UAB „Litesko“ filialas "Biržų šiluma")</t>
  </si>
  <si>
    <t>Marijampolė  (UAB „Litesko“ filialas "Marijampolės šiluma")</t>
  </si>
  <si>
    <t>Kelmė  (UAB „Litesko“ filialas "Kelmės šiluma")</t>
  </si>
  <si>
    <t>Telšiai  (UAB „Litesko“ filialas "Telšių šiluma")</t>
  </si>
  <si>
    <t>Vilkaviškis (UAB „Litesko“ filialas "Vilkaviškio šiluma")</t>
  </si>
  <si>
    <t>Palanga (UAB „Litesko“ filialas "Palangos šiluma")</t>
  </si>
  <si>
    <t>Druskininkai (UAB „Litesko“ filialas "Druskininkų šiluma")</t>
  </si>
  <si>
    <t>Anykščiai (UAB"Anykščių šiluma")</t>
  </si>
  <si>
    <t>Panevėžys (AB "Panevėžio energija")</t>
  </si>
  <si>
    <t>MWh/m²/mėn.</t>
  </si>
  <si>
    <t>Lt/m²/mėn.</t>
  </si>
  <si>
    <t>MWh/m²/mėn</t>
  </si>
  <si>
    <t>Lt/m²/mėn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</si>
  <si>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</si>
  <si>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</si>
  <si>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</si>
  <si>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</si>
  <si>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</si>
  <si>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Birštonas (UAB „Birštono šiluma")</t>
  </si>
  <si>
    <t>Jonava (AB "Jonavos šilumos tinklai")</t>
  </si>
  <si>
    <t>Pakruojis (UAB "Pakruojo šiluma")</t>
  </si>
  <si>
    <t>Šakiai (UAB "Šakių šilumos tinklai")</t>
  </si>
  <si>
    <t>Šilumos suvartojimo ir mokėjimų už šilumą analizė Lietuvos miestų daugiabučiuose gyvenamuosiuose namuose (2013 m. sausio mėn)</t>
  </si>
  <si>
    <t xml:space="preserve">vidutinė lauko oro temperatūra: °C, dienolaipsniai </t>
  </si>
  <si>
    <r>
      <t xml:space="preserve">vidutinė lauko oro temperatūra: -7,0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775,5</t>
    </r>
  </si>
  <si>
    <t>Sviliškių g. 4, 6</t>
  </si>
  <si>
    <t>M.Mironaitės g. 18</t>
  </si>
  <si>
    <t>Bajorų kelias 3</t>
  </si>
  <si>
    <t>Pavilnionių g. 31</t>
  </si>
  <si>
    <t>Žirmūnų g. 3</t>
  </si>
  <si>
    <t>Jonažolių g. 15</t>
  </si>
  <si>
    <t>Jonažolių g. 13 (bt. 1-58)</t>
  </si>
  <si>
    <t>Fizikų g. 6</t>
  </si>
  <si>
    <t>Perkūnkiemio g. 45</t>
  </si>
  <si>
    <t>J.Franko g. 4</t>
  </si>
  <si>
    <t>Laisvės pr. 85</t>
  </si>
  <si>
    <t>Karaliaučiaus g. 16C</t>
  </si>
  <si>
    <t>P.Smuglevičiaus g. 6</t>
  </si>
  <si>
    <t>Sviliškių g. 3, 5, 7</t>
  </si>
  <si>
    <t>Bitininkų g. 4C</t>
  </si>
  <si>
    <t>Karaliaučiaus g. 16A</t>
  </si>
  <si>
    <t>Ūmėdžių g. 80, 82</t>
  </si>
  <si>
    <t>Bitėnų g. 10</t>
  </si>
  <si>
    <t>M.Marcinkevičiaus g. 29</t>
  </si>
  <si>
    <t>Ūmėdžių g. 96</t>
  </si>
  <si>
    <t>Rygos g. 34, 36, 38</t>
  </si>
  <si>
    <t>Ukmergės g. 228</t>
  </si>
  <si>
    <t>Musninkų g. 20</t>
  </si>
  <si>
    <t>Linksmoji g. 77</t>
  </si>
  <si>
    <t>Taikos g. 124, 126</t>
  </si>
  <si>
    <t>Šeškinės g. 63</t>
  </si>
  <si>
    <t>Žemynos g. 9</t>
  </si>
  <si>
    <t>Naugarduko g. 50A</t>
  </si>
  <si>
    <t>iki 1992</t>
  </si>
  <si>
    <t>S.Stanevičiaus g. 8</t>
  </si>
  <si>
    <t>Filaretų g. 18, 20</t>
  </si>
  <si>
    <t>Rinktinės g. 36</t>
  </si>
  <si>
    <t>Tramvajų g. 4</t>
  </si>
  <si>
    <t>P.Vileišio g. 16</t>
  </si>
  <si>
    <t>Parko g. 18</t>
  </si>
  <si>
    <t>Sėlių g. 43</t>
  </si>
  <si>
    <t>Popieriaus g. 82</t>
  </si>
  <si>
    <t>A.Domaševičiaus g. 3</t>
  </si>
  <si>
    <t>V.Grybo g. 24</t>
  </si>
  <si>
    <t>J.Tiškevičiaus g. 6</t>
  </si>
  <si>
    <t>Arklių g. 16</t>
  </si>
  <si>
    <t>Agrastų g. 8</t>
  </si>
  <si>
    <t>vidutinė lauko oro temperatūra: -6,7 °C; dienolaipsniai: 766</t>
  </si>
  <si>
    <t>Jaunimo 4 (renov.)</t>
  </si>
  <si>
    <t>Ašmenos II-oji 37</t>
  </si>
  <si>
    <t>Radvilėnų  5</t>
  </si>
  <si>
    <t>Taikos 78 (renov.)</t>
  </si>
  <si>
    <t>Geležinio Vilko 1A</t>
  </si>
  <si>
    <t>Krėvės 61 (renov.) (KVT)</t>
  </si>
  <si>
    <t>Kovo 11-osios 114 (renov.)(KVT)</t>
  </si>
  <si>
    <t>Naujakurių 116A</t>
  </si>
  <si>
    <t>Krėvės 82B</t>
  </si>
  <si>
    <t>Archyvo 48</t>
  </si>
  <si>
    <t>Karaliaus Mindaugo 7</t>
  </si>
  <si>
    <t>Kovo 11-osios 118 (renov)(KVT)</t>
  </si>
  <si>
    <t>Sukilėlių 87A (KVT)</t>
  </si>
  <si>
    <t>Saulės 3</t>
  </si>
  <si>
    <t>Griunvaldo 4  (renov.)</t>
  </si>
  <si>
    <t>Partizanų 160 (renov.)</t>
  </si>
  <si>
    <t>Savanorių 415  (renov.)(KVT)</t>
  </si>
  <si>
    <t>Medvėgalio 31 (renov.)</t>
  </si>
  <si>
    <t>Pašilės 59</t>
  </si>
  <si>
    <t>Lukšos-Daumanto 2</t>
  </si>
  <si>
    <t>Partizanų 198</t>
  </si>
  <si>
    <t>Šiaurės 1 (KVT)</t>
  </si>
  <si>
    <t>Pašilės 96</t>
  </si>
  <si>
    <t>Šiaurės 101</t>
  </si>
  <si>
    <t>Gravrogkų 17</t>
  </si>
  <si>
    <t>Taikos 39</t>
  </si>
  <si>
    <t>Vievio 54</t>
  </si>
  <si>
    <t>Partizanų 20</t>
  </si>
  <si>
    <t>Lukšio 64</t>
  </si>
  <si>
    <t>Baltų 2</t>
  </si>
  <si>
    <t>Kalantos R. 23</t>
  </si>
  <si>
    <t>Draugystės 6</t>
  </si>
  <si>
    <t>Masiulio 6</t>
  </si>
  <si>
    <t>Masiulio T. 1</t>
  </si>
  <si>
    <t>Juozapavičiaus 48 A</t>
  </si>
  <si>
    <t>Taikos 41</t>
  </si>
  <si>
    <t>Sąjungos a. 10</t>
  </si>
  <si>
    <t>Stulginskio A. 64</t>
  </si>
  <si>
    <t>Baršausko 75</t>
  </si>
  <si>
    <t>Jakšto 8</t>
  </si>
  <si>
    <t>vidutinė lauko oro temperatūra: -4,6 °C; dienolaipsniai: 700,6</t>
  </si>
  <si>
    <t>Debreceno g. 84</t>
  </si>
  <si>
    <t>Kauno g. 19</t>
  </si>
  <si>
    <t>Debreceno g. 31</t>
  </si>
  <si>
    <t>Dragūnų g. 13</t>
  </si>
  <si>
    <t>Debreceno g. 58A</t>
  </si>
  <si>
    <t>Vytauto g. 7</t>
  </si>
  <si>
    <t>Panevežio g. 25B</t>
  </si>
  <si>
    <t>Karlksronos g. 6</t>
  </si>
  <si>
    <t>I.Simonaitytės g. 4</t>
  </si>
  <si>
    <t>Tilžės g. 23</t>
  </si>
  <si>
    <t>Laukininkų g. 43</t>
  </si>
  <si>
    <t>Naujakiemio g. 27</t>
  </si>
  <si>
    <t>Kretingos g. 10</t>
  </si>
  <si>
    <t>Taikos pr. 45</t>
  </si>
  <si>
    <t>J.Zauerveino g. 10a</t>
  </si>
  <si>
    <t>Liubeko g. 3</t>
  </si>
  <si>
    <t>Brožynų g. 11</t>
  </si>
  <si>
    <t>Smiltelės g. 41</t>
  </si>
  <si>
    <t>Kretingos g. 37</t>
  </si>
  <si>
    <t>Šilutės pl. 18</t>
  </si>
  <si>
    <t>Naikupės g. 12a</t>
  </si>
  <si>
    <t>Pietinė g. 20</t>
  </si>
  <si>
    <t>Klevų g. 3</t>
  </si>
  <si>
    <t>Kretingos g. 12</t>
  </si>
  <si>
    <t>Kauno g. 15</t>
  </si>
  <si>
    <t>Rumpiškės g. 30</t>
  </si>
  <si>
    <t>Šaulių g. 45</t>
  </si>
  <si>
    <t>Švyturio g. 16</t>
  </si>
  <si>
    <t>Nidos g. 9</t>
  </si>
  <si>
    <t>Kuncų g. 9</t>
  </si>
  <si>
    <t>Mokyklos g. 23</t>
  </si>
  <si>
    <t>Minijos g. 131</t>
  </si>
  <si>
    <t>Taikos pr. 41</t>
  </si>
  <si>
    <t>Smiltelės g. 9</t>
  </si>
  <si>
    <t>S.Neries 8</t>
  </si>
  <si>
    <t>Jūros g. 25</t>
  </si>
  <si>
    <t>J.Zauerveino g. 9</t>
  </si>
  <si>
    <t>Jono g. 5</t>
  </si>
  <si>
    <t>Karoso g. 20</t>
  </si>
  <si>
    <t>J.Zauerveino g. 10</t>
  </si>
  <si>
    <r>
      <t xml:space="preserve">vidutinė lauko oro temperatūra: 7,0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dienolaipsniai:775</t>
    </r>
  </si>
  <si>
    <t>Kniaudiškių g. 54</t>
  </si>
  <si>
    <t>Molainių g. 8</t>
  </si>
  <si>
    <t>Tulpių g. 13</t>
  </si>
  <si>
    <t>Statybininkų g. 34</t>
  </si>
  <si>
    <t>Nevėžio g. 40B</t>
  </si>
  <si>
    <t>Klaipėdos g. 98</t>
  </si>
  <si>
    <t>Beržų g. 31</t>
  </si>
  <si>
    <t>3 902,29</t>
  </si>
  <si>
    <t>Vaitkaus g.6</t>
  </si>
  <si>
    <t>Molainių g. 78</t>
  </si>
  <si>
    <t>Klaipėdos g. 99 K2</t>
  </si>
  <si>
    <t>Klaipėdos g. 112</t>
  </si>
  <si>
    <t>Margirio g. 9</t>
  </si>
  <si>
    <t>po 1992</t>
  </si>
  <si>
    <t>Vaitkaus g.9</t>
  </si>
  <si>
    <t>Beržų g. 23</t>
  </si>
  <si>
    <t>Statybininkų g. 11</t>
  </si>
  <si>
    <t>Tulpių g. 3</t>
  </si>
  <si>
    <t>Ateities g. 32</t>
  </si>
  <si>
    <t>Ateities g. 14</t>
  </si>
  <si>
    <t>Vaitkaus g.3</t>
  </si>
  <si>
    <t>Nevėžio g. 40</t>
  </si>
  <si>
    <t>Basanavičiaus g.  1</t>
  </si>
  <si>
    <t>1 973,26</t>
  </si>
  <si>
    <t>Vilties g. 47</t>
  </si>
  <si>
    <t>2 632,02</t>
  </si>
  <si>
    <t>Vilties g. 8</t>
  </si>
  <si>
    <t>Vilniaus g. 16</t>
  </si>
  <si>
    <t>Aukštaičių g. 66</t>
  </si>
  <si>
    <t>Nepriklausomybės a. 9</t>
  </si>
  <si>
    <t>1 955,05</t>
  </si>
  <si>
    <t>Kranto g. 25</t>
  </si>
  <si>
    <t>1 845,02</t>
  </si>
  <si>
    <t>Sodų g. 6</t>
  </si>
  <si>
    <t>Įmonių g. 21</t>
  </si>
  <si>
    <t>Aldonos g. 3</t>
  </si>
  <si>
    <t>1 163,53</t>
  </si>
  <si>
    <t>Švyturio g. 19</t>
  </si>
  <si>
    <t>iki 1882</t>
  </si>
  <si>
    <t>Marijonų g. 29</t>
  </si>
  <si>
    <t>Žvaigždžių g. 6</t>
  </si>
  <si>
    <t>Švyturio g. 27</t>
  </si>
  <si>
    <t>Janonio g. 8</t>
  </si>
  <si>
    <t>Liepų al. 17</t>
  </si>
  <si>
    <t>Kudirkos g. 3</t>
  </si>
  <si>
    <t>Nevėžio g. 24</t>
  </si>
  <si>
    <t>Respublikos g. 17</t>
  </si>
  <si>
    <t>Katedros g. 4</t>
  </si>
  <si>
    <r>
      <t xml:space="preserve">vidutinė lauko oro temperatūra: -6,6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762,6</t>
    </r>
  </si>
  <si>
    <t>Kviečių g. 56 (renov.)</t>
  </si>
  <si>
    <t>Gegužių g. 73 (renov.)</t>
  </si>
  <si>
    <t>Klevų g. 13 (renov.)</t>
  </si>
  <si>
    <t>Grinkevičiaus g. 8 (renov.)</t>
  </si>
  <si>
    <t>Gegužių g. 19 (renov.)</t>
  </si>
  <si>
    <t>S. Nėries g. 16 (renov.)</t>
  </si>
  <si>
    <t>Sevastopolio g. 5 (renov.)</t>
  </si>
  <si>
    <t>Dainų g. 4 (renov.)</t>
  </si>
  <si>
    <t>Gardino g. 27 (renov.)</t>
  </si>
  <si>
    <t>Vytauto g. 149 (renov.)</t>
  </si>
  <si>
    <t>Vytauto g. 138 (renov.)</t>
  </si>
  <si>
    <t>Gytarių g. 16 (renov.)</t>
  </si>
  <si>
    <t>Talšos g. 6</t>
  </si>
  <si>
    <t>Lieporių g. 11</t>
  </si>
  <si>
    <t>Dainų g. 10A</t>
  </si>
  <si>
    <t>Rasos g. 22</t>
  </si>
  <si>
    <t>Statybininkų g. 5</t>
  </si>
  <si>
    <t>Putinų g. 10</t>
  </si>
  <si>
    <t>Rasos g. 20</t>
  </si>
  <si>
    <t>Gegužių g. 13</t>
  </si>
  <si>
    <t>Lyros g. 4</t>
  </si>
  <si>
    <t>P. Cvirkos g. 63</t>
  </si>
  <si>
    <t>Tilžės g. 51</t>
  </si>
  <si>
    <t>Vytauto g. 61</t>
  </si>
  <si>
    <t>Trakų g. 36</t>
  </si>
  <si>
    <t>Draugystės pr. 21</t>
  </si>
  <si>
    <t>Ežero g. 29</t>
  </si>
  <si>
    <t>Ežero g. 23</t>
  </si>
  <si>
    <t>Ežero g. 7</t>
  </si>
  <si>
    <t>Radviliškio g. 94</t>
  </si>
  <si>
    <t>Varpo g. 35</t>
  </si>
  <si>
    <t>Vasario 16-osios g. 57</t>
  </si>
  <si>
    <t>Energetikų g. 11</t>
  </si>
  <si>
    <t>Vilniaus g. 215</t>
  </si>
  <si>
    <t>Tilžės g. 126A</t>
  </si>
  <si>
    <t>Vasario 16-osios g. 21</t>
  </si>
  <si>
    <t>Vilniaus g. 213A</t>
  </si>
  <si>
    <t>Ežero g. 14</t>
  </si>
  <si>
    <t>Ežero g. 15</t>
  </si>
  <si>
    <t>P. Višinskio g. 37</t>
  </si>
  <si>
    <t>vidutinė lauko oro temperatūra: -6,3 °C, dienolaipsniai 753,3</t>
  </si>
  <si>
    <t>Naujoji 26 Alytus</t>
  </si>
  <si>
    <t>Statybininkų 46 Alytus</t>
  </si>
  <si>
    <t>Dariaus ir Girėno 6B Alytus</t>
  </si>
  <si>
    <t>Vingio 1 Alytus</t>
  </si>
  <si>
    <t>Lauko 17 Alytus</t>
  </si>
  <si>
    <t>Kaštonų 12 Alytus</t>
  </si>
  <si>
    <t>Kalniškės 25 Alytus</t>
  </si>
  <si>
    <t>Naujoji 68 Alytus</t>
  </si>
  <si>
    <t>Birutės 14 Alytus</t>
  </si>
  <si>
    <t>Putinų 2 Alytus</t>
  </si>
  <si>
    <t>Statybininkų 107 Alytus</t>
  </si>
  <si>
    <t>Aukštakalnio 14 Alytus</t>
  </si>
  <si>
    <t>Statybininkų 30 Alytus</t>
  </si>
  <si>
    <t>Sudvajų 26 Alytus</t>
  </si>
  <si>
    <t>ŽUVINTO 13 Alytus</t>
  </si>
  <si>
    <t>Likiškėlių 80 Alytus</t>
  </si>
  <si>
    <t>Naujoji 58 Alytus</t>
  </si>
  <si>
    <t>Vilties 20 Alytus</t>
  </si>
  <si>
    <t>Volungės 38 Alytus</t>
  </si>
  <si>
    <t>Volungės 12 Alytus</t>
  </si>
  <si>
    <t>Jaunimo 70 Alytus</t>
  </si>
  <si>
    <t>Statybininkų 45 Alytus</t>
  </si>
  <si>
    <t>Žiburio 6 Alytus</t>
  </si>
  <si>
    <t>Jurgiškių 3 Alytus</t>
  </si>
  <si>
    <t>Pramonės 4 Alytus</t>
  </si>
  <si>
    <t>Volungės 17 Alytus</t>
  </si>
  <si>
    <t>Žalgirio 31 Alytus</t>
  </si>
  <si>
    <t>Sudvajų 12 Alytus</t>
  </si>
  <si>
    <t>Jurgiškių 12 Alytus</t>
  </si>
  <si>
    <t>Varėnos 13 Alytus</t>
  </si>
  <si>
    <t>Volungės 19 Alytus</t>
  </si>
  <si>
    <t>Jaunimo 10 Alytus</t>
  </si>
  <si>
    <t>Volungės 46 Alytus</t>
  </si>
  <si>
    <t>Alyvų takas 22 Alytus</t>
  </si>
  <si>
    <t>Miško 11 Alytus</t>
  </si>
  <si>
    <t>Žiburio 12 Alytus</t>
  </si>
  <si>
    <t>vidutinė lauko oro temperatūra: -7,0 °C, dienolaipsniai: 775</t>
  </si>
  <si>
    <t>Vėjo 26b</t>
  </si>
  <si>
    <t>Vilniaus 4</t>
  </si>
  <si>
    <t>Vilniaus 77b</t>
  </si>
  <si>
    <t>Vytauto 24</t>
  </si>
  <si>
    <t>Vilniaus 6</t>
  </si>
  <si>
    <t>Vilniaus 39a</t>
  </si>
  <si>
    <t>Rinkuškių 49</t>
  </si>
  <si>
    <t>Rinkuškių 51</t>
  </si>
  <si>
    <t>Vilniaus 56</t>
  </si>
  <si>
    <t>Rinkuškių 47</t>
  </si>
  <si>
    <t>Rinkuškių 47a</t>
  </si>
  <si>
    <t>Respublikos 58</t>
  </si>
  <si>
    <t>Rotušės 3</t>
  </si>
  <si>
    <t>Vilniaus 92</t>
  </si>
  <si>
    <t>Rotušės 24</t>
  </si>
  <si>
    <t>Respublikos 56</t>
  </si>
  <si>
    <t>Vilniaus 91a</t>
  </si>
  <si>
    <t>Rotušės 24b</t>
  </si>
  <si>
    <t>Vilniaus 93a</t>
  </si>
  <si>
    <t>Rotušės 7</t>
  </si>
  <si>
    <t>Rotušės 19</t>
  </si>
  <si>
    <t>Vytauto 8</t>
  </si>
  <si>
    <t>Basanavičiaus 18</t>
  </si>
  <si>
    <t>Rotušės 1</t>
  </si>
  <si>
    <t>Vytauto 33</t>
  </si>
  <si>
    <t>Kęstučio 2</t>
  </si>
  <si>
    <t>Kilučių 11</t>
  </si>
  <si>
    <t>Rotušės 5</t>
  </si>
  <si>
    <t>Vytauto 14a</t>
  </si>
  <si>
    <t>Rinkuškių 22</t>
  </si>
  <si>
    <t>Vytauto 6</t>
  </si>
  <si>
    <t>vidutinė lauko oro temperatūra: 6,30 °C, dienolaipsniai 753,3</t>
  </si>
  <si>
    <t>V.Kudirkos 1</t>
  </si>
  <si>
    <t>Kosmonautų 12</t>
  </si>
  <si>
    <t>Vytauto 13</t>
  </si>
  <si>
    <t>Kosmonautų 28</t>
  </si>
  <si>
    <t>A.Civinsko 7</t>
  </si>
  <si>
    <t>Lietuvininkų 7</t>
  </si>
  <si>
    <t>Vilkaviškio 61</t>
  </si>
  <si>
    <t>Dariaus ir Girėno 9</t>
  </si>
  <si>
    <t>Vytenio 8</t>
  </si>
  <si>
    <t>Gėlių 14</t>
  </si>
  <si>
    <t>R.Juknevičiaus 100</t>
  </si>
  <si>
    <t>Vytauto 54B</t>
  </si>
  <si>
    <t>Mokolų 9</t>
  </si>
  <si>
    <t>Dariaus ir Girėno 11</t>
  </si>
  <si>
    <t>Dariaus ir Girėno 13</t>
  </si>
  <si>
    <t>R.Juknevičiaus 48</t>
  </si>
  <si>
    <t>R.Juknevičiaus 74</t>
  </si>
  <si>
    <t>Draugystės 3</t>
  </si>
  <si>
    <t>Mokolų 13A</t>
  </si>
  <si>
    <t>Vytauto 54</t>
  </si>
  <si>
    <t>Bažnyčios 15</t>
  </si>
  <si>
    <t>P.Butlerienės 20</t>
  </si>
  <si>
    <t>Lietuvininkų 4</t>
  </si>
  <si>
    <t>Gedimino 9</t>
  </si>
  <si>
    <t>Vasario  16-osios 4</t>
  </si>
  <si>
    <t>Dvarkelio 11</t>
  </si>
  <si>
    <t>P.Butlerienės 7</t>
  </si>
  <si>
    <t>Vytauto 12</t>
  </si>
  <si>
    <t>Vytauto 15</t>
  </si>
  <si>
    <t>Kauno 18</t>
  </si>
  <si>
    <t>Aušros 42A</t>
  </si>
  <si>
    <t>P.Butlerienės 11</t>
  </si>
  <si>
    <t>Vytauto 21</t>
  </si>
  <si>
    <t>P.Kriaučiūno 3</t>
  </si>
  <si>
    <t>Žiedo 7</t>
  </si>
  <si>
    <t>Dvarkelio 14</t>
  </si>
  <si>
    <t>Draugystės 13</t>
  </si>
  <si>
    <t>P.Butlerienės sk. 5</t>
  </si>
  <si>
    <t>A.Civinsko 25</t>
  </si>
  <si>
    <t>Vytauto 27A</t>
  </si>
  <si>
    <t>vidutinė lauko oro temperatūra: -6,9 °C, dienolaipsniai 772</t>
  </si>
  <si>
    <t>Birutės   2</t>
  </si>
  <si>
    <t>Mackevičiaus   29</t>
  </si>
  <si>
    <t>Birutės   4</t>
  </si>
  <si>
    <t>Dariaus ir Girėno    4</t>
  </si>
  <si>
    <t>Laucevičiaus   14</t>
  </si>
  <si>
    <t>Kooperacijos   28</t>
  </si>
  <si>
    <t>Vytauto Didžiojo   82</t>
  </si>
  <si>
    <t>Raseinių   5A</t>
  </si>
  <si>
    <t>Raseinių   9</t>
  </si>
  <si>
    <t>Vytauto Didþiojo   84</t>
  </si>
  <si>
    <t>Mackevičiaus    2</t>
  </si>
  <si>
    <t>žemaitės   45</t>
  </si>
  <si>
    <t>Vytauto Didžiojo   61</t>
  </si>
  <si>
    <t>Vytauto Didžiojo   45</t>
  </si>
  <si>
    <t>Vilties   14</t>
  </si>
  <si>
    <t>žemaitės   51</t>
  </si>
  <si>
    <t>Lygumų 49, Telšiai</t>
  </si>
  <si>
    <t>Dariaus ir Girėno 13, Telšiai</t>
  </si>
  <si>
    <t>Dariaus ir Girėno 15, Telšiai</t>
  </si>
  <si>
    <t>Masčio 54, Telšiai</t>
  </si>
  <si>
    <t>Lygumų 58, Telšiai</t>
  </si>
  <si>
    <t>Vilniaus 34, Telšiai</t>
  </si>
  <si>
    <t>Beržų 2, Telšiai</t>
  </si>
  <si>
    <t>Birutės 12, Telšiai</t>
  </si>
  <si>
    <t>Masčio 38, Telšiai</t>
  </si>
  <si>
    <t>Vilniaus 12, Telšiai</t>
  </si>
  <si>
    <t>Vilniaus 14, Telšiai</t>
  </si>
  <si>
    <t>Kęstučio 15, Telšiai</t>
  </si>
  <si>
    <t>Lygumų 46, Telšiai</t>
  </si>
  <si>
    <t>Luokės 83, Telšiai</t>
  </si>
  <si>
    <t>Vilniaus 36, Telšiai</t>
  </si>
  <si>
    <t>Žemaitės 28, Telšiai</t>
  </si>
  <si>
    <t>Dariaus ir Girėno 20, Telšiai</t>
  </si>
  <si>
    <t>Rambyno 16A, Telšiai</t>
  </si>
  <si>
    <t>Kauno 15, Telšiai</t>
  </si>
  <si>
    <t>Lygumų 53, Telšiai</t>
  </si>
  <si>
    <t>Džiugo 1, Telšiai</t>
  </si>
  <si>
    <t>Luokės 73, Telšiai</t>
  </si>
  <si>
    <t>Stoties 12, Telšiai</t>
  </si>
  <si>
    <t>Daukanto 31, Telšiai</t>
  </si>
  <si>
    <t>Žemaitės 31, Telšiai</t>
  </si>
  <si>
    <t>Petrausko 22, Rainiai</t>
  </si>
  <si>
    <t>Stoties 16, Telšiai</t>
  </si>
  <si>
    <t>Stoties 33, Telšiai</t>
  </si>
  <si>
    <t>Daukanto 14, Telšiai</t>
  </si>
  <si>
    <t>Sedos 3, Telšiai</t>
  </si>
  <si>
    <t>Birutės 24, Telšiai</t>
  </si>
  <si>
    <t>Luokės 33, Telšiai</t>
  </si>
  <si>
    <t>Sinagogos 4, Telšiai</t>
  </si>
  <si>
    <t>Respublikos 75, Telšiai</t>
  </si>
  <si>
    <t>Šviesos 31, Telšiai</t>
  </si>
  <si>
    <t>Respublikos 20, Telšiai</t>
  </si>
  <si>
    <t>Šviesos 25, Telšiai</t>
  </si>
  <si>
    <t>Sinagogos  2, Telšiai</t>
  </si>
  <si>
    <t>Kęstučio 21, Telšiai</t>
  </si>
  <si>
    <t>Šviesos 29, Telšiai</t>
  </si>
  <si>
    <t>Lauko 48 Vilkaviškis</t>
  </si>
  <si>
    <t>Aušros 10 Vilkaviškis</t>
  </si>
  <si>
    <t>Lauko 44 Vilkaviškis</t>
  </si>
  <si>
    <t>Aušros 8 Vilkaviškis</t>
  </si>
  <si>
    <t>Birutės 6 Vilkaviškis</t>
  </si>
  <si>
    <t>Nepriklausomybės 72 Vilkaviškis</t>
  </si>
  <si>
    <t>Birutės 2 Vilkaviškis</t>
  </si>
  <si>
    <t>Vienybės 72 Vilkaviškis</t>
  </si>
  <si>
    <t>Pilviškių 27 Vilkaviškis</t>
  </si>
  <si>
    <t>Statybininkų 4 Vilkaviškis</t>
  </si>
  <si>
    <t>Vištyčio 36A Kybartai</t>
  </si>
  <si>
    <t>Birutės 4 Vilkaviškis</t>
  </si>
  <si>
    <t>Vištyčio 36 Kybartai</t>
  </si>
  <si>
    <t>Kęstučio 2 Vilkaviškis</t>
  </si>
  <si>
    <t>Vienybės 70 Vilkaviškis</t>
  </si>
  <si>
    <t>Statybininkų 8 Vilkaviškis</t>
  </si>
  <si>
    <t>Aušros 4 Vilkaviškis</t>
  </si>
  <si>
    <t>Statybininkų 2 Vilkaviškis</t>
  </si>
  <si>
    <t>Statybininkų 6 Vilkaviškis</t>
  </si>
  <si>
    <t>Nepriklausomybės 66 Vilkaviškis</t>
  </si>
  <si>
    <t>Maironio 32 Vilkaviškis</t>
  </si>
  <si>
    <t>Gedimino 10 Vilkaviškis</t>
  </si>
  <si>
    <t>Dvaro 21 Paežeriai</t>
  </si>
  <si>
    <t>Darvino 30 Kybartai</t>
  </si>
  <si>
    <t>Vilniaus 4 Vilkaviškis</t>
  </si>
  <si>
    <t>Darvino 28 Kybartai</t>
  </si>
  <si>
    <t>Vilniaus 30A Virbalis</t>
  </si>
  <si>
    <t>Vištyčio 7 Virbalis</t>
  </si>
  <si>
    <t>Tarybų 7 Kybartai</t>
  </si>
  <si>
    <t>K.Naumiesčio 9A Kybartai</t>
  </si>
  <si>
    <t>K.Naumiesčio 11 Kybartai</t>
  </si>
  <si>
    <t>Dvaro 9 Paežeriai</t>
  </si>
  <si>
    <t>Basanavičiaus a. 4 Vilkaviškis</t>
  </si>
  <si>
    <t>Darvino 19 Kybartai</t>
  </si>
  <si>
    <t>Vištyčio 2 Virbalis</t>
  </si>
  <si>
    <t>Mokyklos 3 Pilviškiai</t>
  </si>
  <si>
    <t>Dariaus ir Girėno 2A Kybartai</t>
  </si>
  <si>
    <t>Vasario 16-ios 4 Pilviškiai</t>
  </si>
  <si>
    <t>Vasario 16-ios 12 Pilviškiai</t>
  </si>
  <si>
    <t>Vasario 16-ios 10 Pilviškiai</t>
  </si>
  <si>
    <t>vidutinė lauko oro temperatūra: -5,3 °C, dienolaipsniai 722,3</t>
  </si>
  <si>
    <t>vidutinė lauko oro temperatūra: -4,7 °C, dienolaipsniai 703,7</t>
  </si>
  <si>
    <t>Druskininkų 7a</t>
  </si>
  <si>
    <t>Sodų 22</t>
  </si>
  <si>
    <t>Sodų 3</t>
  </si>
  <si>
    <t>Taikos 10</t>
  </si>
  <si>
    <t>Sodų 32</t>
  </si>
  <si>
    <t>Medvalakio 7</t>
  </si>
  <si>
    <t>Taikos 15</t>
  </si>
  <si>
    <t>Sodų 39</t>
  </si>
  <si>
    <t>Saulėtekio 8/6</t>
  </si>
  <si>
    <t>Druskininkų 16</t>
  </si>
  <si>
    <t>Janonio 28</t>
  </si>
  <si>
    <t>Vytauto 81</t>
  </si>
  <si>
    <t>Oškinio 8</t>
  </si>
  <si>
    <t>S.Neries 7</t>
  </si>
  <si>
    <t>Ganyklų 53</t>
  </si>
  <si>
    <t>Ganyklų 41</t>
  </si>
  <si>
    <t>Medvalakio 15</t>
  </si>
  <si>
    <t>Ganyklų 29</t>
  </si>
  <si>
    <t>Biliūno 3</t>
  </si>
  <si>
    <t>Sodų 6</t>
  </si>
  <si>
    <t>Ganyklų 59</t>
  </si>
  <si>
    <t>Valančiaus 8</t>
  </si>
  <si>
    <t>S.neries 5</t>
  </si>
  <si>
    <t>Valančiaus 6</t>
  </si>
  <si>
    <t>Kretingos 7</t>
  </si>
  <si>
    <t>Vytauto 148</t>
  </si>
  <si>
    <t>Medžiotojų 10</t>
  </si>
  <si>
    <t>Kretingos 6</t>
  </si>
  <si>
    <t>Vytauto 120</t>
  </si>
  <si>
    <t>KOSCIUŠKOS 12</t>
  </si>
  <si>
    <t>NERAVŲ 39B</t>
  </si>
  <si>
    <t>ŠILTNAMIŲ 18</t>
  </si>
  <si>
    <t>GARDINO 56A</t>
  </si>
  <si>
    <t>ŠILTNAMIŲ 22</t>
  </si>
  <si>
    <t>DRUSKININKŲ 9</t>
  </si>
  <si>
    <t>-</t>
  </si>
  <si>
    <t>NERAVŲ 39C</t>
  </si>
  <si>
    <t>LIEPŲ 2A</t>
  </si>
  <si>
    <t>DRUSKININKŲ 23</t>
  </si>
  <si>
    <t>MELIORATORIŲ 14</t>
  </si>
  <si>
    <t>JAUNYSTĖS 20</t>
  </si>
  <si>
    <t>VEISIEJŲ 16</t>
  </si>
  <si>
    <t>VEISIEJŲ 22</t>
  </si>
  <si>
    <t>JAUNYSTĖS 22</t>
  </si>
  <si>
    <t>VEISIEJŲ 12</t>
  </si>
  <si>
    <t>JAUNYSTĖS 2</t>
  </si>
  <si>
    <t>VEISIEJŲ 24</t>
  </si>
  <si>
    <t>GARDINO 31</t>
  </si>
  <si>
    <t>DRUSKININKŲ 8</t>
  </si>
  <si>
    <t>TAIKOS 3</t>
  </si>
  <si>
    <t>M.K.ČIURLIONIO 4</t>
  </si>
  <si>
    <t>VYTAUTO 47</t>
  </si>
  <si>
    <t>M.K.ČIURLIONIO 6</t>
  </si>
  <si>
    <t>ŠV.JOKŪBO 24</t>
  </si>
  <si>
    <t>ANTAKALNIO 13</t>
  </si>
  <si>
    <t>VEISIEJŲ 7</t>
  </si>
  <si>
    <t>BARAVYKŲ 1B</t>
  </si>
  <si>
    <t>M.K.ČIURLIONIO 93</t>
  </si>
  <si>
    <t>KUDIRKOS 31</t>
  </si>
  <si>
    <t>M.K.ČIURLIONIO 83</t>
  </si>
  <si>
    <t>VERPĖJŲ 18</t>
  </si>
  <si>
    <t>ALĖJOS 22</t>
  </si>
  <si>
    <t>MELIORATORIŲ 10</t>
  </si>
  <si>
    <t>GARDINO 70</t>
  </si>
  <si>
    <t>ANTAKALNIO 16</t>
  </si>
  <si>
    <t>GARDINO 34</t>
  </si>
  <si>
    <t>ŠV.JOKŪBO 6</t>
  </si>
  <si>
    <t>ŠV.JOKŪBO 15</t>
  </si>
  <si>
    <t>MIZARŲ 1</t>
  </si>
  <si>
    <r>
      <t xml:space="preserve">vidutinė lauko oro temperatūra: -4,8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706,8</t>
    </r>
  </si>
  <si>
    <t>Sodų g.10-ojo NSB(renov.)</t>
  </si>
  <si>
    <t>GAMYKLOS 3</t>
  </si>
  <si>
    <t>Gamyklos g.15-ojo NSB(renov.)</t>
  </si>
  <si>
    <t>P.VILEIŠIO 4</t>
  </si>
  <si>
    <t>Laisvės g.40-ojo NSB(renov.)</t>
  </si>
  <si>
    <t>MINDAUGO 13(renov.)</t>
  </si>
  <si>
    <t>MINDAUGO 12(renov.)</t>
  </si>
  <si>
    <t>MINDAUGO 15(renov.)</t>
  </si>
  <si>
    <t>V.BURBOS 4(renov.)</t>
  </si>
  <si>
    <t>P.VILEIŠIO 2(renov.)</t>
  </si>
  <si>
    <t>V.BURBOS 2</t>
  </si>
  <si>
    <t>NAFTININKŲ 16</t>
  </si>
  <si>
    <t>LAISVĖS 23</t>
  </si>
  <si>
    <t>GAMYKLOS 6</t>
  </si>
  <si>
    <t>Ventos g. 12</t>
  </si>
  <si>
    <t>GAMYKLOS 17</t>
  </si>
  <si>
    <t>NAFTININKŲ 8</t>
  </si>
  <si>
    <t>LAISVĖS 27</t>
  </si>
  <si>
    <t>SKUODO 15B</t>
  </si>
  <si>
    <t>PAVASARIO 14</t>
  </si>
  <si>
    <t>PAVASARIO 12</t>
  </si>
  <si>
    <t>TAIKOS 9</t>
  </si>
  <si>
    <t>VENTOS 33</t>
  </si>
  <si>
    <t>MINDAUGO 20</t>
  </si>
  <si>
    <t>RESPUBLIKOS 20</t>
  </si>
  <si>
    <t>PAVASARIO 49</t>
  </si>
  <si>
    <t>NAFTININKŲ 5A</t>
  </si>
  <si>
    <t>P.VILEIŠIO 6</t>
  </si>
  <si>
    <t>GEDIMINO 9</t>
  </si>
  <si>
    <t>SEDOS 35</t>
  </si>
  <si>
    <t>Bažnyčios 11</t>
  </si>
  <si>
    <t>ŽEMAITIJOS 18</t>
  </si>
  <si>
    <t>MINDAUGO 4</t>
  </si>
  <si>
    <t>SODŲ 7</t>
  </si>
  <si>
    <t>Mažeikių 6 Viekšniai</t>
  </si>
  <si>
    <t>V.BURBOS 5</t>
  </si>
  <si>
    <t>LAISVĖS 218</t>
  </si>
  <si>
    <t>SODŲ 11</t>
  </si>
  <si>
    <t>VASARIO 16-OSIOS 8</t>
  </si>
  <si>
    <t>STOTIES 8</t>
  </si>
  <si>
    <r>
      <t xml:space="preserve">vidutinė lauko oro temperatūra: -7,2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781,2</t>
    </r>
  </si>
  <si>
    <t>Aušros g. 99(renov.), Utena</t>
  </si>
  <si>
    <t>iki1992</t>
  </si>
  <si>
    <t>Vyžuonų g. 11a, Utena</t>
  </si>
  <si>
    <t>Kudirkos g. 22, Utena</t>
  </si>
  <si>
    <t>Aukštakalnio g. 108 Utena</t>
  </si>
  <si>
    <t>Aušros g. 89 IIk.(renov.),Utena</t>
  </si>
  <si>
    <t>Aušros g. 89 Ik.(renov.)Utena</t>
  </si>
  <si>
    <t>Vaižganto g. 58, Utena</t>
  </si>
  <si>
    <t>Aušros g. 83, Utena</t>
  </si>
  <si>
    <t>Sėlių g. 59, Utena</t>
  </si>
  <si>
    <t>Vaižganto g. 52, Utena</t>
  </si>
  <si>
    <t>Krašuonos g. 13, Utena</t>
  </si>
  <si>
    <t>Aukštakalnio g. 14,16  Utena(renov.)</t>
  </si>
  <si>
    <t>Aukštakalno g. 116, Utena</t>
  </si>
  <si>
    <t>Taikos g. 14, Utena</t>
  </si>
  <si>
    <t>Vaižganto g. 62, Utena</t>
  </si>
  <si>
    <t>Vaižganto g. 66, Utena</t>
  </si>
  <si>
    <t>Taikos g. 4, Utena</t>
  </si>
  <si>
    <t>Vaižganto g. 46, Utena</t>
  </si>
  <si>
    <t>Taikos g. 36, Utena</t>
  </si>
  <si>
    <t>Taikos g. 24, Utena</t>
  </si>
  <si>
    <t>Utenio a. 5, Utena</t>
  </si>
  <si>
    <t>Basanavičiaus g. 67, Utena</t>
  </si>
  <si>
    <t>Basanavičiaus g. 108, Utena</t>
  </si>
  <si>
    <t>Užpalių g. 101, Utena</t>
  </si>
  <si>
    <t>Aušros g. 82, Utena</t>
  </si>
  <si>
    <t>Baranausko g. 17, Utena</t>
  </si>
  <si>
    <t>Utenio a. 10, Utena</t>
  </si>
  <si>
    <t>Kęstučio g. 4, Utena</t>
  </si>
  <si>
    <t>Baranausko g. 14, Utena</t>
  </si>
  <si>
    <t>Donelaičio g. 12, Utena</t>
  </si>
  <si>
    <t>Aukštakalnio g. 10,12, Utena</t>
  </si>
  <si>
    <t>Kęstučio g. 6, Utena</t>
  </si>
  <si>
    <t>Tauragnų g. 4, Utena</t>
  </si>
  <si>
    <t>Basanavičiaus g. 110a, Utena</t>
  </si>
  <si>
    <t xml:space="preserve">Maironio g. 17, Utena </t>
  </si>
  <si>
    <t>Užpalių g. 88, Utena</t>
  </si>
  <si>
    <t>Kęstučio g. 9, Utena</t>
  </si>
  <si>
    <t>Kęstučio g. 1, Utena</t>
  </si>
  <si>
    <t>Kauno g. 27, Utena</t>
  </si>
  <si>
    <t>Bažnyčios g. 4, Utena</t>
  </si>
  <si>
    <t>Vaišvilos 9 ( renov.)</t>
  </si>
  <si>
    <t>Jucio 30 ( renov.)</t>
  </si>
  <si>
    <t>Vaišvilos 25 ( renov.)</t>
  </si>
  <si>
    <t>Vaižganto 96( renov.)</t>
  </si>
  <si>
    <t>Vaišvilos 31( renov.)</t>
  </si>
  <si>
    <t>Vaišvilos 23( renov.)</t>
  </si>
  <si>
    <t>Končiaus 7(skaitikliai butuose)</t>
  </si>
  <si>
    <t>Mačernio 12 (dalinai renovuotas)</t>
  </si>
  <si>
    <t>Končiaus 7A(skaitikliai butuose)</t>
  </si>
  <si>
    <t>Jucio 14 (dalinai renovuotas)</t>
  </si>
  <si>
    <t>Mačernio 53</t>
  </si>
  <si>
    <t>Mačernio 51</t>
  </si>
  <si>
    <t>Mačernio 10</t>
  </si>
  <si>
    <t>Jucio 12</t>
  </si>
  <si>
    <t>Vaižganto 85</t>
  </si>
  <si>
    <t>Jucio 10</t>
  </si>
  <si>
    <t>Mačernio 47</t>
  </si>
  <si>
    <t>Mačernio 6</t>
  </si>
  <si>
    <t>Jucio 22</t>
  </si>
  <si>
    <t>Mačernio 8</t>
  </si>
  <si>
    <t>Gandingos 12</t>
  </si>
  <si>
    <t>Gandingos 10</t>
  </si>
  <si>
    <t>A.Jucio 28</t>
  </si>
  <si>
    <t>Senamiesčio 2</t>
  </si>
  <si>
    <t>Lentpjūvės 6</t>
  </si>
  <si>
    <t>Vytauto 27</t>
  </si>
  <si>
    <t>Dariaus ir Girėno 51</t>
  </si>
  <si>
    <t>Dariaus Ir Girėno 35</t>
  </si>
  <si>
    <t>Dariaus Ir Girėno 33</t>
  </si>
  <si>
    <t>S. Neries 4</t>
  </si>
  <si>
    <r>
      <t xml:space="preserve">vidutinė lauko oro temperatūra: -6,2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750,2</t>
    </r>
  </si>
  <si>
    <t>vidutinė lauko oro temperatūra: -6,6 °C; dienolaipsniai 762,6</t>
  </si>
  <si>
    <t>Jaunystės 20 (renovuotas)</t>
  </si>
  <si>
    <t>Jaunystės 35 (renovuotas)</t>
  </si>
  <si>
    <t>Laisvės al 36 (renovuotas)</t>
  </si>
  <si>
    <t>Vaižganto 60 (renovuotas)</t>
  </si>
  <si>
    <t>Žalioji 6</t>
  </si>
  <si>
    <t>Jaunystės 2</t>
  </si>
  <si>
    <t>Maironio 9A</t>
  </si>
  <si>
    <t>Jaunystės 6</t>
  </si>
  <si>
    <t>Maironio 11a</t>
  </si>
  <si>
    <t>Stiklo 6</t>
  </si>
  <si>
    <t>Vasario 16-osios 5</t>
  </si>
  <si>
    <t>Dariaus ir Girėno 38</t>
  </si>
  <si>
    <t>Naujoji 4</t>
  </si>
  <si>
    <t>Naujoji 8</t>
  </si>
  <si>
    <t>Naujoji 2</t>
  </si>
  <si>
    <t>vidutinė lauko oro temperatūra: -6,5 °C; dienolaipsniai 759,5</t>
  </si>
  <si>
    <t>Marcinkonių g. 12, Varėna</t>
  </si>
  <si>
    <t>Renov.</t>
  </si>
  <si>
    <t>Pušelės g. 7, N.Valkininkai</t>
  </si>
  <si>
    <t>Pušelės g. 5, N.Valkininkai</t>
  </si>
  <si>
    <t>Marcinkonių g. 22, Varėna</t>
  </si>
  <si>
    <t>J. Basanavičiaus g. 21, Varė</t>
  </si>
  <si>
    <t>Vytauto g. 24, Varėna</t>
  </si>
  <si>
    <t>Vytauto g. 38, Varėna</t>
  </si>
  <si>
    <t>J.Basanavičiaus g. 5 Varėna</t>
  </si>
  <si>
    <t>Marcinkonių g. 18, Varėna</t>
  </si>
  <si>
    <t>Žalioji g. 23, Varėna</t>
  </si>
  <si>
    <t>Aušros g. 13, Varėna</t>
  </si>
  <si>
    <t>Kalno g. 3, Matuizos</t>
  </si>
  <si>
    <t>Dzūkų g. 40, Varėna</t>
  </si>
  <si>
    <t>Pušelės g. 9, N.Valkininkai</t>
  </si>
  <si>
    <t>Dzūkū g. 48, Varėna</t>
  </si>
  <si>
    <t>Vytauto g. 33, Varėna</t>
  </si>
  <si>
    <t>J.Basanavičiaus g. 27, Varė</t>
  </si>
  <si>
    <t>V. Krėvės g. 9, Varėna</t>
  </si>
  <si>
    <t>Transporto g. 9, Varėna</t>
  </si>
  <si>
    <t>Melioratoriu  g. 3, Varėna</t>
  </si>
  <si>
    <t>Savanorių g. 32, Varėna</t>
  </si>
  <si>
    <t>V.Krėvės g. 7, Varėna</t>
  </si>
  <si>
    <t>Vasario 16-osios g. 13, Varė</t>
  </si>
  <si>
    <t>Dzūkų g. 26, Varėna</t>
  </si>
  <si>
    <t>vidutinė lauko oro temperatūra: -6,7 °C; dienolaipsniai 765,7</t>
  </si>
  <si>
    <t>Gedimino g. 89, Kaišiadorys</t>
  </si>
  <si>
    <t xml:space="preserve">iki 1992 m. </t>
  </si>
  <si>
    <t>Gedimino g. 121, Kaišiadorys</t>
  </si>
  <si>
    <t>Gedimino g. 95, Kaišiadorys</t>
  </si>
  <si>
    <t>iki 1992 m.</t>
  </si>
  <si>
    <t>Gedimino g. 129, Kaišiadorys</t>
  </si>
  <si>
    <t>Gedimino g. 103, Kaišiadorys</t>
  </si>
  <si>
    <t>Gedimino g. 131, Kaišiadorys</t>
  </si>
  <si>
    <t>Gedimino g. 111, Kaišiadorys</t>
  </si>
  <si>
    <t>Gedimino g. 127, Kaišiadorys</t>
  </si>
  <si>
    <t>Maironio g. 8, Kaišiadorys</t>
  </si>
  <si>
    <t>V. Ruokio g. 3/2, Kaišiadorys</t>
  </si>
  <si>
    <t>Gedimino g. 28, Kaišiadorys</t>
  </si>
  <si>
    <t>V. Ruokio g. 3/1, Kaišiadorys</t>
  </si>
  <si>
    <t>Gedimino g. 98, Kaišiadorys</t>
  </si>
  <si>
    <t>Ateities g. 2A, Stasiūnai</t>
  </si>
  <si>
    <t>Birutės g. 3, Kaišiadorys</t>
  </si>
  <si>
    <t>J. Basanavičiaus g. 7, Kaišiadorys</t>
  </si>
  <si>
    <t>Gedimino g. 88, Kaišiadorys</t>
  </si>
  <si>
    <t>Parko g. 25, Kaišiadorys</t>
  </si>
  <si>
    <t>Birutės g. 10, Kaišiadorys</t>
  </si>
  <si>
    <t xml:space="preserve"> Gedimino g. 75, Kaišiadorys</t>
  </si>
  <si>
    <t>Parko g. 6, Stasiūnai</t>
  </si>
  <si>
    <t>Parko g. 8, Stasiūnai</t>
  </si>
  <si>
    <r>
      <t xml:space="preserve">vidutinė lauko oro temperatūra: -6,9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771,9</t>
    </r>
  </si>
  <si>
    <t>Šarkinės 27</t>
  </si>
  <si>
    <t>Pergalės 9b</t>
  </si>
  <si>
    <t>Taikos 5</t>
  </si>
  <si>
    <t>Draugystės 7</t>
  </si>
  <si>
    <t>Sodų 16(1)</t>
  </si>
  <si>
    <t>67..8</t>
  </si>
  <si>
    <t>Draugystės 16</t>
  </si>
  <si>
    <t>Taikos 3</t>
  </si>
  <si>
    <t>Šviesos 7</t>
  </si>
  <si>
    <t>Draugystės 18</t>
  </si>
  <si>
    <t>Šviesos 12</t>
  </si>
  <si>
    <t>Šviesos 6</t>
  </si>
  <si>
    <t>Pergalės 55</t>
  </si>
  <si>
    <t>Pergalės 9a</t>
  </si>
  <si>
    <t>Trakų 23</t>
  </si>
  <si>
    <t>Šarkinės 25</t>
  </si>
  <si>
    <t>Šarkinės 21</t>
  </si>
  <si>
    <t>Šarkinės 13</t>
  </si>
  <si>
    <t>Pergalės 5</t>
  </si>
  <si>
    <t>Sodų 13</t>
  </si>
  <si>
    <t>Saulės 9</t>
  </si>
  <si>
    <t>Pergalės 49</t>
  </si>
  <si>
    <t>Saulės 10</t>
  </si>
  <si>
    <t>Trakų 12</t>
  </si>
  <si>
    <t>Trakų 2</t>
  </si>
  <si>
    <t>Saulės 5</t>
  </si>
  <si>
    <t>Trakų 29</t>
  </si>
  <si>
    <t>saulės 17</t>
  </si>
  <si>
    <t>Saulės 6</t>
  </si>
  <si>
    <t>Trakų 19</t>
  </si>
  <si>
    <t>Trakų 18</t>
  </si>
  <si>
    <r>
      <t xml:space="preserve">vidutinė lauko oro temperatūra: -6,7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765,7</t>
    </r>
  </si>
  <si>
    <t>Statybininkų 19, Prienai(renov)</t>
  </si>
  <si>
    <t>Vytauto 22, Prienai</t>
  </si>
  <si>
    <t>Birutės 4, Prienai</t>
  </si>
  <si>
    <t>Kęstučio 81G, Prienai</t>
  </si>
  <si>
    <t>Vaitkaus 6,. Prienai(renov)</t>
  </si>
  <si>
    <t>Vytauto 27, Prienai</t>
  </si>
  <si>
    <t>Kęstučio 5, Prienai(renov.)</t>
  </si>
  <si>
    <t>Mokyklos 1, Veiveriai(renov)</t>
  </si>
  <si>
    <t>Stadiono 24A, Prienai</t>
  </si>
  <si>
    <t>Stadiono 10, Prienai</t>
  </si>
  <si>
    <t>Vytauto 55, Prienai</t>
  </si>
  <si>
    <t>Statybininkų 5 2L.,Prienai</t>
  </si>
  <si>
    <t>Kęstučio 79, Prienai</t>
  </si>
  <si>
    <t>Stadiono 20 1L., Prienai</t>
  </si>
  <si>
    <t>Stadiono 6 3L., Prienai</t>
  </si>
  <si>
    <t>Statybininkų 9 2L.,Prienai</t>
  </si>
  <si>
    <t>Jaunimo 17, Balbieriškis</t>
  </si>
  <si>
    <t>Vytauto 36, Prienai</t>
  </si>
  <si>
    <t>Statybininkų 11,Prienai</t>
  </si>
  <si>
    <t>Statybininkų 13, Prienai</t>
  </si>
  <si>
    <t>Brundzos 4, Prienai</t>
  </si>
  <si>
    <t>Brundzos 10, Prienai</t>
  </si>
  <si>
    <t>Kęstučio 77, Prienai</t>
  </si>
  <si>
    <t>Brundzos 8, Prienai</t>
  </si>
  <si>
    <t>Vytauto 25, Prienai</t>
  </si>
  <si>
    <t>Vytauto 30, Prienai</t>
  </si>
  <si>
    <t>Janonio 5, Prienai</t>
  </si>
  <si>
    <t>Brundzos 7, Prienai</t>
  </si>
  <si>
    <t>Laisvės a.3/14,Prienai</t>
  </si>
  <si>
    <t>vidutinė lauko oro temperatūra: -6,6 °C, dienolaipsniai 762,6</t>
  </si>
  <si>
    <t>Stadiono 13 Akmenė (renov)</t>
  </si>
  <si>
    <t>Respublikos 24 Naujoji Akmenė (renov.)</t>
  </si>
  <si>
    <t>Ramučių 39 Naujoji Akmenė (renov.)</t>
  </si>
  <si>
    <t>Stadiono 17 Akmenė (renov.)</t>
  </si>
  <si>
    <t>Stadiono 7 Akmenė (renov.)</t>
  </si>
  <si>
    <t>Laižuvos 5 Akmenė (renov.)</t>
  </si>
  <si>
    <t>V.Kudirkos 17 Naujoji Akmenė (renov.)</t>
  </si>
  <si>
    <t>Respublikos 6 Naujoji Akmenė (renov.)</t>
  </si>
  <si>
    <t>Taikos 2 Naujoji Akmenė (renov.)</t>
  </si>
  <si>
    <t>Darbininkų 4 Naujoji Akmenė</t>
  </si>
  <si>
    <t>Respublikos 14 Naujoji Akmenė</t>
  </si>
  <si>
    <t>Žemaičių 41 Venta</t>
  </si>
  <si>
    <t>Ramučių12 Naujoji Akmenė</t>
  </si>
  <si>
    <t>Respublikos 25 Naujoji Akmenė</t>
  </si>
  <si>
    <t>Respublikos 18 Naujoji Akmenė</t>
  </si>
  <si>
    <t>Žalgirio 7 Naujoji Akmenė</t>
  </si>
  <si>
    <t>Žalgirio 5 Naujoji Akmenė</t>
  </si>
  <si>
    <t>Bausko 3 Venta</t>
  </si>
  <si>
    <t>Bausko 8 Venta</t>
  </si>
  <si>
    <t>L.Pelėdos 11 Naujoji  Akmenė</t>
  </si>
  <si>
    <t>Ventos 14 Venta</t>
  </si>
  <si>
    <t>Ventos 16 Venta</t>
  </si>
  <si>
    <t>vidutinė lauko oro temperatūra: -6,0 dienolaispniai: 744</t>
  </si>
  <si>
    <t>D.Poškos g.3 bendrija</t>
  </si>
  <si>
    <t>Dariaus ir Girėno g.37</t>
  </si>
  <si>
    <t>D.Poškos g.6</t>
  </si>
  <si>
    <t>Žemaitės g.8</t>
  </si>
  <si>
    <t>Jauniaus g.5c</t>
  </si>
  <si>
    <t>Dariaus ir Girėno g.39</t>
  </si>
  <si>
    <t>Dariaus ir Girėno g.31</t>
  </si>
  <si>
    <t>Žalioji g.1, Kvėdarna</t>
  </si>
  <si>
    <t>Žalioji g.1a, Kvėdarna</t>
  </si>
  <si>
    <t>D.Poškos g.20</t>
  </si>
  <si>
    <t>Dariaus ir Girėno g.47</t>
  </si>
  <si>
    <t>Dariaus ir Girėno g.51</t>
  </si>
  <si>
    <t>Dariaus ir Girėno g.59</t>
  </si>
  <si>
    <t>D.Poškos g.16</t>
  </si>
  <si>
    <t>vidutinė lauko oro temperatūra: -6,8 °C, dienolaipsniai 768,8</t>
  </si>
  <si>
    <t>LELIJŲ 17</t>
  </si>
  <si>
    <t>B.SRUOGOS 10</t>
  </si>
  <si>
    <t>LELIJŲ 11</t>
  </si>
  <si>
    <t>B.SRUOGOS 8</t>
  </si>
  <si>
    <t>B.SRUOGOS 12</t>
  </si>
  <si>
    <t>LELIJŲ 21</t>
  </si>
  <si>
    <t>DAR. IR GIRĖNO 7</t>
  </si>
  <si>
    <t>VILNIAUS 10 1L.</t>
  </si>
  <si>
    <t>DAR. IR GIRĖNO 23A 2L</t>
  </si>
  <si>
    <t>KĘSTUČIO 27 2L.</t>
  </si>
  <si>
    <t>VILNIAUS 10 3L.</t>
  </si>
  <si>
    <t>DAR. IR GIRĖNO 23A 3L</t>
  </si>
  <si>
    <t>Ramybės g.14</t>
  </si>
  <si>
    <t>J. Biliūno g.8</t>
  </si>
  <si>
    <t xml:space="preserve">Basanavičiaus g.50 </t>
  </si>
  <si>
    <t>Basanavičiaus g.48</t>
  </si>
  <si>
    <t>J. Biliūno g.16</t>
  </si>
  <si>
    <t>J. Biliūno g. 20</t>
  </si>
  <si>
    <t>Statybininkų g.19</t>
  </si>
  <si>
    <t>Basanavičiiaus g.60</t>
  </si>
  <si>
    <t>Statybininkų g.23</t>
  </si>
  <si>
    <t>Statybininkų g.21</t>
  </si>
  <si>
    <t>J.RALIO 8 (renovuotas)</t>
  </si>
  <si>
    <t>KOSMONAUTŲ 9 (renovuotas)</t>
  </si>
  <si>
    <t>BIRUTĖS  8 (renovuotas)</t>
  </si>
  <si>
    <t>PANERIŲ  19 (renovuotas)</t>
  </si>
  <si>
    <t>J.RALIO  10 (renovuotas)</t>
  </si>
  <si>
    <t>J.RALIO  12 (renovuotas)</t>
  </si>
  <si>
    <t>BIRUTĖS   7 (renovuotas)</t>
  </si>
  <si>
    <t>PANERIŲ   6  (renovuotas)</t>
  </si>
  <si>
    <t>PANERIŲ  21 (renovuotas)</t>
  </si>
  <si>
    <t>LIETAVOS  17</t>
  </si>
  <si>
    <t>CHEMIKŲ 112</t>
  </si>
  <si>
    <t>RUKLIO   3</t>
  </si>
  <si>
    <t>PARKO   1</t>
  </si>
  <si>
    <t>CHEMIKŲ  29</t>
  </si>
  <si>
    <t>SODŲ  50A</t>
  </si>
  <si>
    <t>PANERIŲ  17</t>
  </si>
  <si>
    <t>BIRUTĖS   4L</t>
  </si>
  <si>
    <t>KOSMONAUTŲ  12</t>
  </si>
  <si>
    <t>BIRUTĖS   4A</t>
  </si>
  <si>
    <t>CHEMIKŲ 130</t>
  </si>
  <si>
    <t>A.KULVIEČIO   3</t>
  </si>
  <si>
    <t>ŽEIMIŲ TAKAS   4</t>
  </si>
  <si>
    <t>A.KULVIEČIO   8</t>
  </si>
  <si>
    <t>CHEMIKŲ  70</t>
  </si>
  <si>
    <t>PILIAKALNIO   8</t>
  </si>
  <si>
    <t>VASARIO 16-OSIOS  17</t>
  </si>
  <si>
    <t>A.KULVIEČIO  14</t>
  </si>
  <si>
    <t>KAUNO  91</t>
  </si>
  <si>
    <t>CHEMIKŲ 122</t>
  </si>
  <si>
    <t>KOSMONAUTŲ  16</t>
  </si>
  <si>
    <t>BASANAVIČIAUS  74</t>
  </si>
  <si>
    <t>ŽEMAITĖS  18</t>
  </si>
  <si>
    <t>LIETAVOS   1</t>
  </si>
  <si>
    <t>BASANAVIČIAUS  72</t>
  </si>
  <si>
    <t>KOSMONAUTŲ   2A, 2B</t>
  </si>
  <si>
    <t>ŽEIMIŲ  26</t>
  </si>
  <si>
    <t>FABRIKO  14</t>
  </si>
  <si>
    <t>KAUNO  68</t>
  </si>
  <si>
    <t>vidutinė lauko oro temperatūra: -6,6 °C; dienolaipsniai</t>
  </si>
  <si>
    <t>Pergalės 4, Pakruojis</t>
  </si>
  <si>
    <t>Mašioto 67, Pakruojis</t>
  </si>
  <si>
    <t>Dariaus ir Girėno 51, Pakruojis</t>
  </si>
  <si>
    <t>Mašioto 51, Pakruojis</t>
  </si>
  <si>
    <t>Saulėtekio 50, Pakruojis</t>
  </si>
  <si>
    <t>Mašioto 63, Pakruojis</t>
  </si>
  <si>
    <t>P.Mašioto 59, Pakruojis</t>
  </si>
  <si>
    <t>Mindaugo 4, Pakruojis</t>
  </si>
  <si>
    <t>Saulėtekio 46, Pakruojis</t>
  </si>
  <si>
    <t>Saulėtekio 44,Pakruojis</t>
  </si>
  <si>
    <t>Saulėtekio 36, Pakruojis</t>
  </si>
  <si>
    <t>Taikos 24a,Pakruojis</t>
  </si>
  <si>
    <t>Taikos 24,Pakruojis</t>
  </si>
  <si>
    <t>Vilniaus 34, Pakruojis</t>
  </si>
  <si>
    <t>Saulėtekio 40, Pakruojis</t>
  </si>
  <si>
    <t>Mašioto 55,Pakruojis</t>
  </si>
  <si>
    <t>V.Didžiojo 35,Pakruojis</t>
  </si>
  <si>
    <t>Taikos 18, Pakruojis</t>
  </si>
  <si>
    <t>Saulėtekio 40a,Pakruojis</t>
  </si>
  <si>
    <t>Skvero 4, Pakruojo k.</t>
  </si>
  <si>
    <t>Mindaugo 2C,Pakruojis</t>
  </si>
  <si>
    <t>L.Giros 8, Pakruojis</t>
  </si>
  <si>
    <t>Taikos 18a, Pakruojis</t>
  </si>
  <si>
    <t>Kęstučio 8, Pakruojis</t>
  </si>
  <si>
    <t>Kęstučio 2, Pakruojis</t>
  </si>
  <si>
    <t>Vasario 16-osios 15,Pakruojis</t>
  </si>
  <si>
    <t>Joniškėlio 2, Linkuva</t>
  </si>
  <si>
    <t>Mažoji 1, Pakruojo k.</t>
  </si>
  <si>
    <t>Taikos 26, Pakruojis</t>
  </si>
  <si>
    <t>Vasario 16-osios 13,Pakruojis</t>
  </si>
  <si>
    <t>S.Ušinsko 22, Pakruojis</t>
  </si>
  <si>
    <t>vidutinė lauko oro temperatūra: -6,3 °C; dienolaipsniai 753</t>
  </si>
  <si>
    <t>S. Banaičio g. 12</t>
  </si>
  <si>
    <t>Vytauto g. 17</t>
  </si>
  <si>
    <t>Bažnyčios g. 13</t>
  </si>
  <si>
    <t>J. Basanavičiaus g. 4</t>
  </si>
  <si>
    <t>Gimnazijos g. 34</t>
  </si>
  <si>
    <t>V. Kudirkos g. 92b</t>
  </si>
  <si>
    <t>S. Banaičio g. 3</t>
  </si>
  <si>
    <t>Jaunystės takas 6</t>
  </si>
  <si>
    <t>V. Kudirkos g. 82</t>
  </si>
  <si>
    <t>Bažnyčios g. 11</t>
  </si>
  <si>
    <t>Šaulių g. 18</t>
  </si>
  <si>
    <t>Šaulių g. 8</t>
  </si>
  <si>
    <t>V. Kudirkos g. 86</t>
  </si>
  <si>
    <t>V. Kudirkos g. 37</t>
  </si>
  <si>
    <t>Šaulių g. 10</t>
  </si>
  <si>
    <t>Šaulių g. 12</t>
  </si>
  <si>
    <t>V. Kudirko sg. 47</t>
  </si>
  <si>
    <t>Kęstučio g. 4</t>
  </si>
  <si>
    <t>Tauragė (UAB "Tauragės šilumos tinklai")</t>
  </si>
  <si>
    <t>vidutinė lauko oro temperatūra: -6,0 °C; dienolaipsniai 744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</si>
  <si>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</si>
  <si>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</si>
  <si>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</si>
  <si>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</si>
  <si>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</si>
  <si>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</si>
  <si>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</si>
  <si>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r>
      <t xml:space="preserve">Dariaus ir Girėno g. 18 </t>
    </r>
    <r>
      <rPr>
        <i/>
        <sz val="8"/>
        <color indexed="10"/>
        <rFont val="Arial"/>
        <family val="2"/>
      </rPr>
      <t>(renov.)</t>
    </r>
  </si>
  <si>
    <r>
      <t xml:space="preserve">Vytauto g. 75 </t>
    </r>
    <r>
      <rPr>
        <i/>
        <sz val="8"/>
        <color indexed="10"/>
        <rFont val="Arial"/>
        <family val="2"/>
      </rPr>
      <t>(renov.)</t>
    </r>
  </si>
  <si>
    <t>Gedimino g. 8</t>
  </si>
  <si>
    <t>Dariaus ir Girėno g. 26A</t>
  </si>
  <si>
    <t>Vytauto g. 4B</t>
  </si>
  <si>
    <t>Vaižganto g. 118</t>
  </si>
  <si>
    <t>Miško g. 8</t>
  </si>
  <si>
    <t>Birutės g. 36</t>
  </si>
  <si>
    <t>Gedimino g. 23</t>
  </si>
  <si>
    <t xml:space="preserve">Dainavos g. 7 </t>
  </si>
  <si>
    <t>Gedimino g. 32</t>
  </si>
  <si>
    <t>Ateities takas 18</t>
  </si>
  <si>
    <t>Žemaitės g. 32</t>
  </si>
  <si>
    <t>Prezidento g. 67</t>
  </si>
  <si>
    <t>Dariaus ir Girėno g. 34</t>
  </si>
  <si>
    <t>Dariaus ir Girėno g. 38</t>
  </si>
  <si>
    <t>Respublikos g. 4</t>
  </si>
  <si>
    <t>Žemaitės g. 3</t>
  </si>
  <si>
    <t>Vasario 16-osios g. 8</t>
  </si>
  <si>
    <t>Vasario 16-osios g. 5</t>
  </si>
  <si>
    <t>Vasario 16-osios g. 3</t>
  </si>
  <si>
    <t>Dariaus ir Girėno g. 20</t>
  </si>
  <si>
    <t>Vasario 16-osios g. 10</t>
  </si>
  <si>
    <t>Dariaus ir Girėno g. 16A</t>
  </si>
  <si>
    <t>Vytauto g. 62</t>
  </si>
  <si>
    <t>Dariaus ir Girėno g. 24</t>
  </si>
  <si>
    <t>V. Kudirkos g. 5</t>
  </si>
  <si>
    <t>Vytauto g. 88</t>
  </si>
  <si>
    <t>Dariaus ir Grėno g. 4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</si>
</sst>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0\ _L_t"/>
    <numFmt numFmtId="175" formatCode="#,##0.00000\ _L_t"/>
    <numFmt numFmtId="176" formatCode="0.0000000000"/>
    <numFmt numFmtId="177" formatCode="#,##0.000"/>
    <numFmt numFmtId="178" formatCode="#,##0.0"/>
    <numFmt numFmtId="179" formatCode="#,##0.0000"/>
    <numFmt numFmtId="180" formatCode="#,##0.00000"/>
    <numFmt numFmtId="181" formatCode="#,##0\ _L_t"/>
    <numFmt numFmtId="182" formatCode="0.E+00"/>
  </numFmts>
  <fonts count="5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i/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21" xfId="0" applyFont="1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2" fontId="1" fillId="34" borderId="22" xfId="0" applyNumberFormat="1" applyFont="1" applyFill="1" applyBorder="1" applyAlignment="1">
      <alignment horizontal="right"/>
    </xf>
    <xf numFmtId="167" fontId="1" fillId="34" borderId="22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1" fontId="1" fillId="34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left" indent="3"/>
    </xf>
    <xf numFmtId="2" fontId="1" fillId="34" borderId="28" xfId="0" applyNumberFormat="1" applyFont="1" applyFill="1" applyBorder="1" applyAlignment="1">
      <alignment horizontal="left" indent="3"/>
    </xf>
    <xf numFmtId="2" fontId="1" fillId="34" borderId="29" xfId="0" applyNumberFormat="1" applyFont="1" applyFill="1" applyBorder="1" applyAlignment="1">
      <alignment horizontal="left" indent="3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 horizontal="left" indent="3"/>
    </xf>
    <xf numFmtId="0" fontId="1" fillId="34" borderId="27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2" fontId="1" fillId="34" borderId="24" xfId="0" applyNumberFormat="1" applyFont="1" applyFill="1" applyBorder="1" applyAlignment="1">
      <alignment horizontal="right"/>
    </xf>
    <xf numFmtId="1" fontId="1" fillId="34" borderId="2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13" borderId="26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6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0" fillId="34" borderId="22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top"/>
    </xf>
    <xf numFmtId="1" fontId="1" fillId="13" borderId="26" xfId="0" applyNumberFormat="1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 vertical="top"/>
    </xf>
    <xf numFmtId="0" fontId="1" fillId="13" borderId="32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29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167" fontId="1" fillId="33" borderId="22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1" fillId="13" borderId="29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29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/>
    </xf>
    <xf numFmtId="167" fontId="1" fillId="13" borderId="26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 vertical="center"/>
    </xf>
    <xf numFmtId="0" fontId="1" fillId="13" borderId="26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3" borderId="22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29" xfId="0" applyNumberFormat="1" applyFont="1" applyFill="1" applyBorder="1" applyAlignment="1" applyProtection="1">
      <alignment horizontal="center"/>
      <protection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29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9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 locked="0"/>
    </xf>
    <xf numFmtId="2" fontId="1" fillId="13" borderId="29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 vertical="center"/>
    </xf>
    <xf numFmtId="2" fontId="1" fillId="13" borderId="34" xfId="0" applyNumberFormat="1" applyFont="1" applyFill="1" applyBorder="1" applyAlignment="1">
      <alignment horizontal="center"/>
    </xf>
    <xf numFmtId="2" fontId="1" fillId="13" borderId="22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" fontId="1" fillId="13" borderId="22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167" fontId="1" fillId="13" borderId="22" xfId="0" applyNumberFormat="1" applyFont="1" applyFill="1" applyBorder="1" applyAlignment="1" applyProtection="1">
      <alignment horizontal="center"/>
      <protection/>
    </xf>
    <xf numFmtId="2" fontId="1" fillId="13" borderId="22" xfId="0" applyNumberFormat="1" applyFont="1" applyFill="1" applyBorder="1" applyAlignment="1" applyProtection="1">
      <alignment horizontal="center"/>
      <protection/>
    </xf>
    <xf numFmtId="2" fontId="1" fillId="13" borderId="24" xfId="0" applyNumberFormat="1" applyFont="1" applyFill="1" applyBorder="1" applyAlignment="1" applyProtection="1">
      <alignment horizontal="center"/>
      <protection/>
    </xf>
    <xf numFmtId="0" fontId="1" fillId="36" borderId="26" xfId="0" applyFont="1" applyFill="1" applyBorder="1" applyAlignment="1">
      <alignment/>
    </xf>
    <xf numFmtId="0" fontId="1" fillId="13" borderId="22" xfId="0" applyFont="1" applyFill="1" applyBorder="1" applyAlignment="1" applyProtection="1">
      <alignment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13" borderId="22" xfId="0" applyNumberFormat="1" applyFont="1" applyFill="1" applyBorder="1" applyAlignment="1" applyProtection="1">
      <alignment horizontal="center"/>
      <protection locked="0"/>
    </xf>
    <xf numFmtId="2" fontId="1" fillId="13" borderId="22" xfId="0" applyNumberFormat="1" applyFont="1" applyFill="1" applyBorder="1" applyAlignment="1" applyProtection="1">
      <alignment horizontal="center"/>
      <protection locked="0"/>
    </xf>
    <xf numFmtId="0" fontId="1" fillId="13" borderId="26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2" fontId="1" fillId="33" borderId="26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33" borderId="10" xfId="0" applyNumberFormat="1" applyFont="1" applyFill="1" applyBorder="1" applyAlignment="1" applyProtection="1">
      <alignment horizontal="center"/>
      <protection/>
    </xf>
    <xf numFmtId="2" fontId="1" fillId="34" borderId="29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38" xfId="0" applyFont="1" applyBorder="1" applyAlignment="1">
      <alignment/>
    </xf>
    <xf numFmtId="165" fontId="1" fillId="33" borderId="22" xfId="0" applyNumberFormat="1" applyFont="1" applyFill="1" applyBorder="1" applyAlignment="1">
      <alignment horizontal="center"/>
    </xf>
    <xf numFmtId="165" fontId="1" fillId="36" borderId="26" xfId="0" applyNumberFormat="1" applyFont="1" applyFill="1" applyBorder="1" applyAlignment="1">
      <alignment horizontal="center"/>
    </xf>
    <xf numFmtId="167" fontId="1" fillId="1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vertical="top" wrapText="1"/>
    </xf>
    <xf numFmtId="1" fontId="1" fillId="33" borderId="22" xfId="0" applyNumberFormat="1" applyFont="1" applyFill="1" applyBorder="1" applyAlignment="1">
      <alignment horizontal="center" vertical="top"/>
    </xf>
    <xf numFmtId="166" fontId="1" fillId="33" borderId="22" xfId="0" applyNumberFormat="1" applyFont="1" applyFill="1" applyBorder="1" applyAlignment="1">
      <alignment vertical="top"/>
    </xf>
    <xf numFmtId="0" fontId="1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7" fontId="1" fillId="36" borderId="26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165" fontId="1" fillId="36" borderId="22" xfId="0" applyNumberFormat="1" applyFont="1" applyFill="1" applyBorder="1" applyAlignment="1">
      <alignment horizontal="center"/>
    </xf>
    <xf numFmtId="2" fontId="1" fillId="36" borderId="22" xfId="0" applyNumberFormat="1" applyFont="1" applyFill="1" applyBorder="1" applyAlignment="1">
      <alignment horizontal="center"/>
    </xf>
    <xf numFmtId="167" fontId="1" fillId="36" borderId="22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38" borderId="22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>
      <alignment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65" fontId="1" fillId="33" borderId="26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167" fontId="1" fillId="33" borderId="26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2" fontId="1" fillId="33" borderId="39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165" fontId="1" fillId="13" borderId="26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22" xfId="0" applyFont="1" applyFill="1" applyBorder="1" applyAlignment="1">
      <alignment horizontal="center"/>
    </xf>
    <xf numFmtId="0" fontId="1" fillId="38" borderId="22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top"/>
    </xf>
    <xf numFmtId="1" fontId="1" fillId="38" borderId="10" xfId="0" applyNumberFormat="1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167" fontId="1" fillId="38" borderId="26" xfId="0" applyNumberFormat="1" applyFont="1" applyFill="1" applyBorder="1" applyAlignment="1">
      <alignment horizontal="center"/>
    </xf>
    <xf numFmtId="2" fontId="1" fillId="38" borderId="34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29" xfId="0" applyNumberFormat="1" applyFont="1" applyFill="1" applyBorder="1" applyAlignment="1">
      <alignment horizontal="center"/>
    </xf>
    <xf numFmtId="165" fontId="1" fillId="38" borderId="22" xfId="0" applyNumberFormat="1" applyFont="1" applyFill="1" applyBorder="1" applyAlignment="1">
      <alignment horizontal="center"/>
    </xf>
    <xf numFmtId="2" fontId="1" fillId="38" borderId="22" xfId="0" applyNumberFormat="1" applyFont="1" applyFill="1" applyBorder="1" applyAlignment="1">
      <alignment horizontal="center"/>
    </xf>
    <xf numFmtId="167" fontId="1" fillId="38" borderId="22" xfId="0" applyNumberFormat="1" applyFont="1" applyFill="1" applyBorder="1" applyAlignment="1">
      <alignment horizontal="center"/>
    </xf>
    <xf numFmtId="2" fontId="1" fillId="38" borderId="24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top"/>
    </xf>
    <xf numFmtId="0" fontId="1" fillId="38" borderId="40" xfId="0" applyFont="1" applyFill="1" applyBorder="1" applyAlignment="1">
      <alignment horizontal="center" vertical="top"/>
    </xf>
    <xf numFmtId="0" fontId="1" fillId="38" borderId="26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166" fontId="1" fillId="38" borderId="10" xfId="0" applyNumberFormat="1" applyFont="1" applyFill="1" applyBorder="1" applyAlignment="1">
      <alignment horizontal="center"/>
    </xf>
    <xf numFmtId="167" fontId="1" fillId="34" borderId="26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29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>
      <alignment/>
    </xf>
    <xf numFmtId="165" fontId="1" fillId="34" borderId="26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 vertical="top"/>
    </xf>
    <xf numFmtId="0" fontId="1" fillId="38" borderId="3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1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top"/>
    </xf>
    <xf numFmtId="0" fontId="1" fillId="13" borderId="32" xfId="0" applyFont="1" applyFill="1" applyBorder="1" applyAlignment="1">
      <alignment horizontal="center" vertical="top"/>
    </xf>
    <xf numFmtId="0" fontId="1" fillId="13" borderId="25" xfId="0" applyFont="1" applyFill="1" applyBorder="1" applyAlignment="1">
      <alignment horizontal="center" vertical="top"/>
    </xf>
    <xf numFmtId="0" fontId="1" fillId="38" borderId="32" xfId="0" applyFont="1" applyFill="1" applyBorder="1" applyAlignment="1">
      <alignment horizontal="center" vertical="top"/>
    </xf>
    <xf numFmtId="0" fontId="1" fillId="38" borderId="25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left"/>
    </xf>
    <xf numFmtId="1" fontId="1" fillId="33" borderId="22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vertical="top"/>
    </xf>
    <xf numFmtId="2" fontId="1" fillId="34" borderId="22" xfId="0" applyNumberFormat="1" applyFont="1" applyFill="1" applyBorder="1" applyAlignment="1">
      <alignment vertical="top"/>
    </xf>
    <xf numFmtId="1" fontId="1" fillId="34" borderId="22" xfId="0" applyNumberFormat="1" applyFont="1" applyFill="1" applyBorder="1" applyAlignment="1">
      <alignment vertical="top"/>
    </xf>
    <xf numFmtId="2" fontId="1" fillId="34" borderId="22" xfId="0" applyNumberFormat="1" applyFont="1" applyFill="1" applyBorder="1" applyAlignment="1">
      <alignment horizontal="right" vertical="top"/>
    </xf>
    <xf numFmtId="167" fontId="1" fillId="34" borderId="22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3" borderId="2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/>
    </xf>
    <xf numFmtId="165" fontId="1" fillId="38" borderId="26" xfId="0" applyNumberFormat="1" applyFont="1" applyFill="1" applyBorder="1" applyAlignment="1">
      <alignment horizont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wrapText="1"/>
    </xf>
    <xf numFmtId="165" fontId="1" fillId="13" borderId="10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8" borderId="26" xfId="0" applyNumberFormat="1" applyFont="1" applyFill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0" fillId="13" borderId="10" xfId="0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 applyProtection="1">
      <alignment horizontal="center"/>
      <protection locked="0"/>
    </xf>
    <xf numFmtId="2" fontId="1" fillId="33" borderId="22" xfId="0" applyNumberFormat="1" applyFont="1" applyFill="1" applyBorder="1" applyAlignment="1" applyProtection="1">
      <alignment horizontal="center"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8" borderId="10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22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22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167" fontId="1" fillId="33" borderId="22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165" fontId="1" fillId="13" borderId="43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2" fontId="1" fillId="33" borderId="22" xfId="0" applyNumberFormat="1" applyFont="1" applyFill="1" applyBorder="1" applyAlignment="1">
      <alignment horizontal="center" vertical="top"/>
    </xf>
    <xf numFmtId="167" fontId="1" fillId="33" borderId="22" xfId="0" applyNumberFormat="1" applyFont="1" applyFill="1" applyBorder="1" applyAlignment="1">
      <alignment horizontal="center" vertical="top"/>
    </xf>
    <xf numFmtId="2" fontId="1" fillId="33" borderId="24" xfId="0" applyNumberFormat="1" applyFont="1" applyFill="1" applyBorder="1" applyAlignment="1">
      <alignment horizontal="center" vertical="top"/>
    </xf>
    <xf numFmtId="165" fontId="1" fillId="33" borderId="22" xfId="0" applyNumberFormat="1" applyFont="1" applyFill="1" applyBorder="1" applyAlignment="1">
      <alignment horizontal="center" vertical="top"/>
    </xf>
    <xf numFmtId="0" fontId="1" fillId="38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66" fontId="1" fillId="36" borderId="10" xfId="0" applyNumberFormat="1" applyFont="1" applyFill="1" applyBorder="1" applyAlignment="1">
      <alignment horizontal="center"/>
    </xf>
    <xf numFmtId="3" fontId="10" fillId="38" borderId="10" xfId="0" applyNumberFormat="1" applyFont="1" applyFill="1" applyBorder="1" applyAlignment="1">
      <alignment horizontal="center" vertical="top" wrapText="1"/>
    </xf>
    <xf numFmtId="3" fontId="10" fillId="34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>
      <alignment vertical="top"/>
    </xf>
    <xf numFmtId="0" fontId="1" fillId="13" borderId="22" xfId="0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165" fontId="1" fillId="33" borderId="2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3" fontId="10" fillId="13" borderId="10" xfId="0" applyNumberFormat="1" applyFont="1" applyFill="1" applyBorder="1" applyAlignment="1">
      <alignment horizontal="center" vertical="top" wrapText="1"/>
    </xf>
    <xf numFmtId="166" fontId="1" fillId="13" borderId="22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vertical="top"/>
    </xf>
    <xf numFmtId="0" fontId="1" fillId="38" borderId="22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165" fontId="1" fillId="38" borderId="21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67" fontId="1" fillId="33" borderId="21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29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2" fontId="1" fillId="13" borderId="39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>
      <alignment horizontal="center"/>
    </xf>
    <xf numFmtId="2" fontId="1" fillId="38" borderId="39" xfId="0" applyNumberFormat="1" applyFont="1" applyFill="1" applyBorder="1" applyAlignment="1">
      <alignment horizontal="center"/>
    </xf>
    <xf numFmtId="167" fontId="1" fillId="38" borderId="11" xfId="0" applyNumberFormat="1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2" fontId="1" fillId="38" borderId="1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34" borderId="39" xfId="0" applyNumberFormat="1" applyFont="1" applyFill="1" applyBorder="1" applyAlignment="1">
      <alignment horizontal="center"/>
    </xf>
    <xf numFmtId="2" fontId="1" fillId="13" borderId="33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165" fontId="1" fillId="34" borderId="43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" fontId="1" fillId="38" borderId="1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 wrapText="1"/>
    </xf>
    <xf numFmtId="165" fontId="10" fillId="13" borderId="10" xfId="0" applyNumberFormat="1" applyFont="1" applyFill="1" applyBorder="1" applyAlignment="1">
      <alignment horizontal="center" vertical="top" wrapText="1"/>
    </xf>
    <xf numFmtId="165" fontId="10" fillId="38" borderId="10" xfId="0" applyNumberFormat="1" applyFont="1" applyFill="1" applyBorder="1" applyAlignment="1">
      <alignment horizontal="center" vertical="top" wrapText="1"/>
    </xf>
    <xf numFmtId="165" fontId="10" fillId="34" borderId="10" xfId="0" applyNumberFormat="1" applyFont="1" applyFill="1" applyBorder="1" applyAlignment="1">
      <alignment horizontal="center" vertical="top" wrapText="1"/>
    </xf>
    <xf numFmtId="165" fontId="10" fillId="34" borderId="26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10" fillId="13" borderId="10" xfId="0" applyNumberFormat="1" applyFont="1" applyFill="1" applyBorder="1" applyAlignment="1">
      <alignment horizontal="center" vertical="top" wrapText="1"/>
    </xf>
    <xf numFmtId="1" fontId="10" fillId="38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center" vertical="top" wrapText="1"/>
    </xf>
    <xf numFmtId="1" fontId="10" fillId="34" borderId="26" xfId="0" applyNumberFormat="1" applyFont="1" applyFill="1" applyBorder="1" applyAlignment="1">
      <alignment horizontal="center" vertical="top" wrapText="1"/>
    </xf>
    <xf numFmtId="2" fontId="1" fillId="33" borderId="26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165" fontId="1" fillId="33" borderId="26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" fontId="1" fillId="33" borderId="26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75" fontId="1" fillId="33" borderId="26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13" borderId="10" xfId="0" applyNumberFormat="1" applyFont="1" applyFill="1" applyBorder="1" applyAlignment="1" applyProtection="1">
      <alignment horizontal="center"/>
      <protection/>
    </xf>
    <xf numFmtId="175" fontId="1" fillId="38" borderId="10" xfId="0" applyNumberFormat="1" applyFont="1" applyFill="1" applyBorder="1" applyAlignment="1" applyProtection="1">
      <alignment horizontal="center"/>
      <protection/>
    </xf>
    <xf numFmtId="175" fontId="1" fillId="34" borderId="10" xfId="0" applyNumberFormat="1" applyFont="1" applyFill="1" applyBorder="1" applyAlignment="1" applyProtection="1">
      <alignment horizontal="center"/>
      <protection/>
    </xf>
    <xf numFmtId="167" fontId="1" fillId="33" borderId="21" xfId="0" applyNumberFormat="1" applyFont="1" applyFill="1" applyBorder="1" applyAlignment="1" applyProtection="1">
      <alignment horizontal="center"/>
      <protection/>
    </xf>
    <xf numFmtId="2" fontId="1" fillId="33" borderId="21" xfId="0" applyNumberFormat="1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39" xfId="0" applyNumberFormat="1" applyFont="1" applyFill="1" applyBorder="1" applyAlignment="1" applyProtection="1">
      <alignment horizontal="center"/>
      <protection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39" xfId="0" applyNumberFormat="1" applyFont="1" applyFill="1" applyBorder="1" applyAlignment="1" applyProtection="1">
      <alignment horizontal="center"/>
      <protection/>
    </xf>
    <xf numFmtId="167" fontId="1" fillId="38" borderId="26" xfId="0" applyNumberFormat="1" applyFont="1" applyFill="1" applyBorder="1" applyAlignment="1" applyProtection="1">
      <alignment horizontal="center"/>
      <protection/>
    </xf>
    <xf numFmtId="2" fontId="1" fillId="38" borderId="26" xfId="0" applyNumberFormat="1" applyFont="1" applyFill="1" applyBorder="1" applyAlignment="1" applyProtection="1">
      <alignment horizontal="center"/>
      <protection locked="0"/>
    </xf>
    <xf numFmtId="2" fontId="1" fillId="38" borderId="26" xfId="0" applyNumberFormat="1" applyFont="1" applyFill="1" applyBorder="1" applyAlignment="1" applyProtection="1">
      <alignment horizontal="center"/>
      <protection/>
    </xf>
    <xf numFmtId="2" fontId="1" fillId="38" borderId="34" xfId="0" applyNumberFormat="1" applyFont="1" applyFill="1" applyBorder="1" applyAlignment="1" applyProtection="1">
      <alignment horizontal="center"/>
      <protection/>
    </xf>
    <xf numFmtId="2" fontId="1" fillId="38" borderId="29" xfId="0" applyNumberFormat="1" applyFont="1" applyFill="1" applyBorder="1" applyAlignment="1" applyProtection="1">
      <alignment horizontal="center"/>
      <protection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39" xfId="0" applyNumberFormat="1" applyFont="1" applyFill="1" applyBorder="1" applyAlignment="1" applyProtection="1">
      <alignment horizontal="center"/>
      <protection/>
    </xf>
    <xf numFmtId="167" fontId="1" fillId="34" borderId="22" xfId="0" applyNumberFormat="1" applyFont="1" applyFill="1" applyBorder="1" applyAlignment="1" applyProtection="1">
      <alignment horizontal="center"/>
      <protection/>
    </xf>
    <xf numFmtId="2" fontId="1" fillId="34" borderId="22" xfId="0" applyNumberFormat="1" applyFont="1" applyFill="1" applyBorder="1" applyAlignment="1" applyProtection="1">
      <alignment horizontal="center"/>
      <protection locked="0"/>
    </xf>
    <xf numFmtId="2" fontId="1" fillId="34" borderId="22" xfId="0" applyNumberFormat="1" applyFont="1" applyFill="1" applyBorder="1" applyAlignment="1" applyProtection="1">
      <alignment horizontal="center"/>
      <protection/>
    </xf>
    <xf numFmtId="2" fontId="1" fillId="34" borderId="24" xfId="0" applyNumberFormat="1" applyFont="1" applyFill="1" applyBorder="1" applyAlignment="1" applyProtection="1">
      <alignment horizontal="center"/>
      <protection/>
    </xf>
    <xf numFmtId="165" fontId="1" fillId="33" borderId="21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38" borderId="26" xfId="0" applyNumberFormat="1" applyFont="1" applyFill="1" applyBorder="1" applyAlignment="1" applyProtection="1">
      <alignment horizontal="center"/>
      <protection locked="0"/>
    </xf>
    <xf numFmtId="165" fontId="1" fillId="38" borderId="11" xfId="0" applyNumberFormat="1" applyFont="1" applyFill="1" applyBorder="1" applyAlignment="1" applyProtection="1">
      <alignment horizontal="center"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165" fontId="1" fillId="34" borderId="22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2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1" fontId="1" fillId="38" borderId="26" xfId="0" applyNumberFormat="1" applyFont="1" applyFill="1" applyBorder="1" applyAlignment="1" applyProtection="1">
      <alignment horizontal="center"/>
      <protection locked="0"/>
    </xf>
    <xf numFmtId="1" fontId="1" fillId="38" borderId="11" xfId="0" applyNumberFormat="1" applyFont="1" applyFill="1" applyBorder="1" applyAlignment="1" applyProtection="1">
      <alignment horizontal="center"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1" fontId="1" fillId="34" borderId="22" xfId="0" applyNumberFormat="1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/>
    </xf>
    <xf numFmtId="165" fontId="10" fillId="33" borderId="22" xfId="0" applyNumberFormat="1" applyFont="1" applyFill="1" applyBorder="1" applyAlignment="1">
      <alignment horizontal="center" vertical="top"/>
    </xf>
    <xf numFmtId="165" fontId="10" fillId="13" borderId="10" xfId="0" applyNumberFormat="1" applyFont="1" applyFill="1" applyBorder="1" applyAlignment="1">
      <alignment horizontal="center" vertical="top"/>
    </xf>
    <xf numFmtId="165" fontId="10" fillId="13" borderId="22" xfId="0" applyNumberFormat="1" applyFont="1" applyFill="1" applyBorder="1" applyAlignment="1">
      <alignment horizontal="center" vertical="top"/>
    </xf>
    <xf numFmtId="165" fontId="10" fillId="38" borderId="10" xfId="0" applyNumberFormat="1" applyFont="1" applyFill="1" applyBorder="1" applyAlignment="1">
      <alignment horizontal="center" vertical="top"/>
    </xf>
    <xf numFmtId="165" fontId="10" fillId="38" borderId="22" xfId="0" applyNumberFormat="1" applyFont="1" applyFill="1" applyBorder="1" applyAlignment="1">
      <alignment horizontal="center" vertical="top"/>
    </xf>
    <xf numFmtId="165" fontId="10" fillId="34" borderId="10" xfId="0" applyNumberFormat="1" applyFont="1" applyFill="1" applyBorder="1" applyAlignment="1">
      <alignment horizontal="center" vertical="top"/>
    </xf>
    <xf numFmtId="165" fontId="1" fillId="34" borderId="14" xfId="0" applyNumberFormat="1" applyFont="1" applyFill="1" applyBorder="1" applyAlignment="1">
      <alignment horizontal="center"/>
    </xf>
    <xf numFmtId="165" fontId="10" fillId="34" borderId="22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2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22" xfId="0" applyNumberFormat="1" applyFont="1" applyFill="1" applyBorder="1" applyAlignment="1">
      <alignment horizontal="center" vertical="top"/>
    </xf>
    <xf numFmtId="1" fontId="10" fillId="38" borderId="10" xfId="0" applyNumberFormat="1" applyFont="1" applyFill="1" applyBorder="1" applyAlignment="1">
      <alignment horizontal="center" vertical="top"/>
    </xf>
    <xf numFmtId="1" fontId="10" fillId="38" borderId="22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2" xfId="0" applyNumberFormat="1" applyFont="1" applyFill="1" applyBorder="1" applyAlignment="1">
      <alignment horizontal="center" vertical="top"/>
    </xf>
    <xf numFmtId="2" fontId="1" fillId="33" borderId="25" xfId="0" applyNumberFormat="1" applyFont="1" applyFill="1" applyBorder="1" applyAlignment="1" applyProtection="1">
      <alignment horizontal="center"/>
      <protection/>
    </xf>
    <xf numFmtId="167" fontId="1" fillId="13" borderId="26" xfId="0" applyNumberFormat="1" applyFont="1" applyFill="1" applyBorder="1" applyAlignment="1" applyProtection="1">
      <alignment horizontal="center"/>
      <protection/>
    </xf>
    <xf numFmtId="2" fontId="1" fillId="13" borderId="26" xfId="0" applyNumberFormat="1" applyFont="1" applyFill="1" applyBorder="1" applyAlignment="1" applyProtection="1">
      <alignment horizontal="center"/>
      <protection locked="0"/>
    </xf>
    <xf numFmtId="2" fontId="1" fillId="13" borderId="26" xfId="0" applyNumberFormat="1" applyFont="1" applyFill="1" applyBorder="1" applyAlignment="1" applyProtection="1">
      <alignment horizontal="center"/>
      <protection/>
    </xf>
    <xf numFmtId="2" fontId="1" fillId="13" borderId="34" xfId="0" applyNumberFormat="1" applyFont="1" applyFill="1" applyBorder="1" applyAlignment="1" applyProtection="1">
      <alignment horizontal="center"/>
      <protection/>
    </xf>
    <xf numFmtId="167" fontId="1" fillId="38" borderId="22" xfId="0" applyNumberFormat="1" applyFont="1" applyFill="1" applyBorder="1" applyAlignment="1" applyProtection="1">
      <alignment horizontal="center"/>
      <protection/>
    </xf>
    <xf numFmtId="2" fontId="1" fillId="38" borderId="22" xfId="0" applyNumberFormat="1" applyFont="1" applyFill="1" applyBorder="1" applyAlignment="1" applyProtection="1">
      <alignment horizontal="center"/>
      <protection/>
    </xf>
    <xf numFmtId="2" fontId="1" fillId="38" borderId="24" xfId="0" applyNumberFormat="1" applyFont="1" applyFill="1" applyBorder="1" applyAlignment="1" applyProtection="1">
      <alignment horizontal="center"/>
      <protection/>
    </xf>
    <xf numFmtId="2" fontId="1" fillId="38" borderId="22" xfId="0" applyNumberFormat="1" applyFont="1" applyFill="1" applyBorder="1" applyAlignment="1" applyProtection="1">
      <alignment horizontal="center"/>
      <protection locked="0"/>
    </xf>
    <xf numFmtId="165" fontId="1" fillId="38" borderId="21" xfId="0" applyNumberFormat="1" applyFont="1" applyFill="1" applyBorder="1" applyAlignment="1" applyProtection="1">
      <alignment horizontal="center"/>
      <protection locked="0"/>
    </xf>
    <xf numFmtId="165" fontId="1" fillId="38" borderId="22" xfId="0" applyNumberFormat="1" applyFont="1" applyFill="1" applyBorder="1" applyAlignment="1" applyProtection="1">
      <alignment horizontal="center"/>
      <protection locked="0"/>
    </xf>
    <xf numFmtId="1" fontId="1" fillId="38" borderId="21" xfId="0" applyNumberFormat="1" applyFont="1" applyFill="1" applyBorder="1" applyAlignment="1" applyProtection="1">
      <alignment horizontal="center"/>
      <protection locked="0"/>
    </xf>
    <xf numFmtId="1" fontId="1" fillId="38" borderId="22" xfId="0" applyNumberFormat="1" applyFont="1" applyFill="1" applyBorder="1" applyAlignment="1" applyProtection="1">
      <alignment horizontal="center"/>
      <protection locked="0"/>
    </xf>
    <xf numFmtId="2" fontId="1" fillId="33" borderId="40" xfId="0" applyNumberFormat="1" applyFont="1" applyFill="1" applyBorder="1" applyAlignment="1">
      <alignment horizontal="center"/>
    </xf>
    <xf numFmtId="2" fontId="1" fillId="13" borderId="44" xfId="0" applyNumberFormat="1" applyFont="1" applyFill="1" applyBorder="1" applyAlignment="1">
      <alignment horizontal="center"/>
    </xf>
    <xf numFmtId="2" fontId="1" fillId="13" borderId="45" xfId="0" applyNumberFormat="1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center"/>
    </xf>
    <xf numFmtId="2" fontId="1" fillId="36" borderId="47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2" fontId="1" fillId="36" borderId="44" xfId="0" applyNumberFormat="1" applyFont="1" applyFill="1" applyBorder="1" applyAlignment="1">
      <alignment horizontal="center"/>
    </xf>
    <xf numFmtId="2" fontId="1" fillId="36" borderId="45" xfId="0" applyNumberFormat="1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 horizontal="center"/>
    </xf>
    <xf numFmtId="165" fontId="1" fillId="13" borderId="40" xfId="0" applyNumberFormat="1" applyFont="1" applyFill="1" applyBorder="1" applyAlignment="1">
      <alignment horizontal="center"/>
    </xf>
    <xf numFmtId="165" fontId="1" fillId="36" borderId="4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167" fontId="1" fillId="34" borderId="14" xfId="0" applyNumberFormat="1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/>
    </xf>
    <xf numFmtId="165" fontId="10" fillId="13" borderId="26" xfId="0" applyNumberFormat="1" applyFont="1" applyFill="1" applyBorder="1" applyAlignment="1">
      <alignment horizontal="center" vertical="top" wrapText="1"/>
    </xf>
    <xf numFmtId="1" fontId="10" fillId="13" borderId="26" xfId="0" applyNumberFormat="1" applyFont="1" applyFill="1" applyBorder="1" applyAlignment="1">
      <alignment horizontal="center" vertical="top" wrapText="1"/>
    </xf>
    <xf numFmtId="165" fontId="10" fillId="38" borderId="26" xfId="0" applyNumberFormat="1" applyFont="1" applyFill="1" applyBorder="1" applyAlignment="1">
      <alignment horizontal="center" vertical="top" wrapText="1"/>
    </xf>
    <xf numFmtId="1" fontId="10" fillId="38" borderId="26" xfId="0" applyNumberFormat="1" applyFont="1" applyFill="1" applyBorder="1" applyAlignment="1">
      <alignment horizontal="center" vertical="top" wrapText="1"/>
    </xf>
    <xf numFmtId="0" fontId="3" fillId="34" borderId="22" xfId="0" applyFont="1" applyFill="1" applyBorder="1" applyAlignment="1" applyProtection="1">
      <alignment/>
      <protection locked="0"/>
    </xf>
    <xf numFmtId="175" fontId="1" fillId="34" borderId="22" xfId="0" applyNumberFormat="1" applyFont="1" applyFill="1" applyBorder="1" applyAlignment="1" applyProtection="1">
      <alignment horizontal="center"/>
      <protection/>
    </xf>
    <xf numFmtId="165" fontId="1" fillId="13" borderId="26" xfId="0" applyNumberFormat="1" applyFont="1" applyFill="1" applyBorder="1" applyAlignment="1" applyProtection="1">
      <alignment horizontal="center"/>
      <protection locked="0"/>
    </xf>
    <xf numFmtId="1" fontId="1" fillId="13" borderId="26" xfId="0" applyNumberFormat="1" applyFont="1" applyFill="1" applyBorder="1" applyAlignment="1" applyProtection="1">
      <alignment horizontal="center"/>
      <protection locked="0"/>
    </xf>
    <xf numFmtId="175" fontId="1" fillId="13" borderId="26" xfId="0" applyNumberFormat="1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 locked="0"/>
    </xf>
    <xf numFmtId="175" fontId="1" fillId="33" borderId="22" xfId="0" applyNumberFormat="1" applyFont="1" applyFill="1" applyBorder="1" applyAlignment="1" applyProtection="1">
      <alignment horizontal="center"/>
      <protection/>
    </xf>
    <xf numFmtId="0" fontId="1" fillId="38" borderId="26" xfId="0" applyFont="1" applyFill="1" applyBorder="1" applyAlignment="1" applyProtection="1">
      <alignment/>
      <protection locked="0"/>
    </xf>
    <xf numFmtId="175" fontId="1" fillId="38" borderId="26" xfId="0" applyNumberFormat="1" applyFont="1" applyFill="1" applyBorder="1" applyAlignment="1" applyProtection="1">
      <alignment horizontal="center"/>
      <protection/>
    </xf>
    <xf numFmtId="175" fontId="1" fillId="13" borderId="22" xfId="0" applyNumberFormat="1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165" fontId="1" fillId="34" borderId="26" xfId="0" applyNumberFormat="1" applyFont="1" applyFill="1" applyBorder="1" applyAlignment="1" applyProtection="1">
      <alignment horizontal="center"/>
      <protection locked="0"/>
    </xf>
    <xf numFmtId="1" fontId="1" fillId="34" borderId="26" xfId="0" applyNumberFormat="1" applyFont="1" applyFill="1" applyBorder="1" applyAlignment="1" applyProtection="1">
      <alignment horizontal="center"/>
      <protection locked="0"/>
    </xf>
    <xf numFmtId="175" fontId="1" fillId="34" borderId="26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 locked="0"/>
    </xf>
    <xf numFmtId="2" fontId="1" fillId="34" borderId="26" xfId="0" applyNumberFormat="1" applyFont="1" applyFill="1" applyBorder="1" applyAlignment="1" applyProtection="1">
      <alignment horizontal="center"/>
      <protection/>
    </xf>
    <xf numFmtId="2" fontId="1" fillId="34" borderId="34" xfId="0" applyNumberFormat="1" applyFont="1" applyFill="1" applyBorder="1" applyAlignment="1" applyProtection="1">
      <alignment horizontal="center"/>
      <protection/>
    </xf>
    <xf numFmtId="175" fontId="1" fillId="38" borderId="22" xfId="0" applyNumberFormat="1" applyFont="1" applyFill="1" applyBorder="1" applyAlignment="1" applyProtection="1">
      <alignment horizontal="center"/>
      <protection/>
    </xf>
    <xf numFmtId="2" fontId="1" fillId="38" borderId="40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/>
    </xf>
    <xf numFmtId="2" fontId="1" fillId="38" borderId="33" xfId="0" applyNumberFormat="1" applyFont="1" applyFill="1" applyBorder="1" applyAlignment="1">
      <alignment horizontal="center"/>
    </xf>
    <xf numFmtId="167" fontId="1" fillId="38" borderId="14" xfId="0" applyNumberFormat="1" applyFont="1" applyFill="1" applyBorder="1" applyAlignment="1">
      <alignment horizontal="center"/>
    </xf>
    <xf numFmtId="165" fontId="1" fillId="39" borderId="23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/>
      <protection locked="0"/>
    </xf>
    <xf numFmtId="166" fontId="1" fillId="35" borderId="26" xfId="0" applyNumberFormat="1" applyFont="1" applyFill="1" applyBorder="1" applyAlignment="1">
      <alignment horizontal="center"/>
    </xf>
    <xf numFmtId="166" fontId="1" fillId="35" borderId="22" xfId="0" applyNumberFormat="1" applyFont="1" applyFill="1" applyBorder="1" applyAlignment="1">
      <alignment horizontal="center"/>
    </xf>
    <xf numFmtId="166" fontId="1" fillId="39" borderId="21" xfId="0" applyNumberFormat="1" applyFont="1" applyFill="1" applyBorder="1" applyAlignment="1">
      <alignment horizontal="center"/>
    </xf>
    <xf numFmtId="166" fontId="1" fillId="36" borderId="21" xfId="0" applyNumberFormat="1" applyFont="1" applyFill="1" applyBorder="1" applyAlignment="1">
      <alignment horizontal="center"/>
    </xf>
    <xf numFmtId="166" fontId="1" fillId="36" borderId="22" xfId="0" applyNumberFormat="1" applyFont="1" applyFill="1" applyBorder="1" applyAlignment="1">
      <alignment horizontal="center"/>
    </xf>
    <xf numFmtId="166" fontId="1" fillId="13" borderId="21" xfId="0" applyNumberFormat="1" applyFont="1" applyFill="1" applyBorder="1" applyAlignment="1">
      <alignment horizontal="center"/>
    </xf>
    <xf numFmtId="2" fontId="1" fillId="35" borderId="34" xfId="0" applyNumberFormat="1" applyFont="1" applyFill="1" applyBorder="1" applyAlignment="1">
      <alignment horizontal="center"/>
    </xf>
    <xf numFmtId="1" fontId="1" fillId="36" borderId="11" xfId="0" applyNumberFormat="1" applyFont="1" applyFill="1" applyBorder="1" applyAlignment="1">
      <alignment horizontal="center"/>
    </xf>
    <xf numFmtId="3" fontId="10" fillId="13" borderId="10" xfId="0" applyNumberFormat="1" applyFont="1" applyFill="1" applyBorder="1" applyAlignment="1">
      <alignment horizontal="center" vertical="top"/>
    </xf>
    <xf numFmtId="167" fontId="1" fillId="35" borderId="26" xfId="0" applyNumberFormat="1" applyFont="1" applyFill="1" applyBorder="1" applyAlignment="1" applyProtection="1">
      <alignment horizontal="center"/>
      <protection/>
    </xf>
    <xf numFmtId="2" fontId="1" fillId="35" borderId="23" xfId="0" applyNumberFormat="1" applyFont="1" applyFill="1" applyBorder="1" applyAlignment="1">
      <alignment horizontal="center"/>
    </xf>
    <xf numFmtId="167" fontId="1" fillId="35" borderId="40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165" fontId="1" fillId="34" borderId="26" xfId="0" applyNumberFormat="1" applyFont="1" applyFill="1" applyBorder="1" applyAlignment="1">
      <alignment horizontal="right"/>
    </xf>
    <xf numFmtId="165" fontId="1" fillId="35" borderId="21" xfId="42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 quotePrefix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top"/>
    </xf>
    <xf numFmtId="1" fontId="1" fillId="13" borderId="43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 quotePrefix="1">
      <alignment horizontal="center"/>
    </xf>
    <xf numFmtId="2" fontId="1" fillId="38" borderId="32" xfId="0" applyNumberFormat="1" applyFont="1" applyFill="1" applyBorder="1" applyAlignment="1">
      <alignment horizontal="center"/>
    </xf>
    <xf numFmtId="2" fontId="1" fillId="38" borderId="35" xfId="0" applyNumberFormat="1" applyFont="1" applyFill="1" applyBorder="1" applyAlignment="1">
      <alignment horizontal="center"/>
    </xf>
    <xf numFmtId="0" fontId="3" fillId="38" borderId="22" xfId="0" applyFont="1" applyFill="1" applyBorder="1" applyAlignment="1" applyProtection="1">
      <alignment/>
      <protection locked="0"/>
    </xf>
    <xf numFmtId="3" fontId="10" fillId="38" borderId="10" xfId="0" applyNumberFormat="1" applyFont="1" applyFill="1" applyBorder="1" applyAlignment="1">
      <alignment horizontal="center" vertical="top"/>
    </xf>
    <xf numFmtId="167" fontId="1" fillId="36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/>
      <protection locked="0"/>
    </xf>
    <xf numFmtId="3" fontId="10" fillId="34" borderId="10" xfId="0" applyNumberFormat="1" applyFont="1" applyFill="1" applyBorder="1" applyAlignment="1">
      <alignment horizontal="center" vertical="top"/>
    </xf>
    <xf numFmtId="0" fontId="1" fillId="34" borderId="43" xfId="0" applyFont="1" applyFill="1" applyBorder="1" applyAlignment="1">
      <alignment horizontal="center"/>
    </xf>
    <xf numFmtId="0" fontId="1" fillId="33" borderId="48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31" xfId="0" applyFont="1" applyFill="1" applyBorder="1" applyAlignment="1" applyProtection="1">
      <alignment/>
      <protection locked="0"/>
    </xf>
    <xf numFmtId="0" fontId="1" fillId="13" borderId="48" xfId="0" applyFont="1" applyFill="1" applyBorder="1" applyAlignment="1" applyProtection="1">
      <alignment/>
      <protection locked="0"/>
    </xf>
    <xf numFmtId="0" fontId="1" fillId="13" borderId="30" xfId="0" applyFont="1" applyFill="1" applyBorder="1" applyAlignment="1" applyProtection="1">
      <alignment/>
      <protection locked="0"/>
    </xf>
    <xf numFmtId="0" fontId="1" fillId="13" borderId="31" xfId="0" applyFont="1" applyFill="1" applyBorder="1" applyAlignment="1" applyProtection="1">
      <alignment/>
      <protection locked="0"/>
    </xf>
    <xf numFmtId="0" fontId="1" fillId="38" borderId="49" xfId="0" applyFont="1" applyFill="1" applyBorder="1" applyAlignment="1" applyProtection="1">
      <alignment/>
      <protection locked="0"/>
    </xf>
    <xf numFmtId="0" fontId="1" fillId="38" borderId="30" xfId="0" applyFont="1" applyFill="1" applyBorder="1" applyAlignment="1" applyProtection="1">
      <alignment/>
      <protection locked="0"/>
    </xf>
    <xf numFmtId="0" fontId="1" fillId="38" borderId="50" xfId="0" applyFont="1" applyFill="1" applyBorder="1" applyAlignment="1" applyProtection="1">
      <alignment/>
      <protection locked="0"/>
    </xf>
    <xf numFmtId="0" fontId="1" fillId="34" borderId="48" xfId="0" applyFont="1" applyFill="1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/>
      <protection locked="0"/>
    </xf>
    <xf numFmtId="0" fontId="3" fillId="34" borderId="31" xfId="0" applyFont="1" applyFill="1" applyBorder="1" applyAlignment="1" applyProtection="1">
      <alignment/>
      <protection locked="0"/>
    </xf>
    <xf numFmtId="0" fontId="1" fillId="13" borderId="26" xfId="0" applyFont="1" applyFill="1" applyBorder="1" applyAlignment="1">
      <alignment vertical="top"/>
    </xf>
    <xf numFmtId="3" fontId="10" fillId="13" borderId="26" xfId="0" applyNumberFormat="1" applyFont="1" applyFill="1" applyBorder="1" applyAlignment="1">
      <alignment horizontal="center" vertical="top"/>
    </xf>
    <xf numFmtId="165" fontId="10" fillId="13" borderId="26" xfId="0" applyNumberFormat="1" applyFont="1" applyFill="1" applyBorder="1" applyAlignment="1">
      <alignment horizontal="center" vertical="top"/>
    </xf>
    <xf numFmtId="1" fontId="10" fillId="13" borderId="26" xfId="0" applyNumberFormat="1" applyFont="1" applyFill="1" applyBorder="1" applyAlignment="1">
      <alignment horizontal="center" vertical="top"/>
    </xf>
    <xf numFmtId="3" fontId="10" fillId="33" borderId="22" xfId="0" applyNumberFormat="1" applyFont="1" applyFill="1" applyBorder="1" applyAlignment="1">
      <alignment horizontal="center" vertical="top"/>
    </xf>
    <xf numFmtId="0" fontId="1" fillId="38" borderId="26" xfId="0" applyFont="1" applyFill="1" applyBorder="1" applyAlignment="1">
      <alignment vertical="top"/>
    </xf>
    <xf numFmtId="3" fontId="10" fillId="38" borderId="26" xfId="0" applyNumberFormat="1" applyFont="1" applyFill="1" applyBorder="1" applyAlignment="1">
      <alignment horizontal="center" vertical="top"/>
    </xf>
    <xf numFmtId="165" fontId="10" fillId="38" borderId="26" xfId="0" applyNumberFormat="1" applyFont="1" applyFill="1" applyBorder="1" applyAlignment="1">
      <alignment horizontal="center" vertical="top"/>
    </xf>
    <xf numFmtId="1" fontId="10" fillId="38" borderId="26" xfId="0" applyNumberFormat="1" applyFont="1" applyFill="1" applyBorder="1" applyAlignment="1">
      <alignment horizontal="center" vertical="top"/>
    </xf>
    <xf numFmtId="3" fontId="10" fillId="13" borderId="22" xfId="0" applyNumberFormat="1" applyFont="1" applyFill="1" applyBorder="1" applyAlignment="1">
      <alignment horizontal="center" vertical="top"/>
    </xf>
    <xf numFmtId="0" fontId="1" fillId="34" borderId="26" xfId="0" applyFont="1" applyFill="1" applyBorder="1" applyAlignment="1">
      <alignment vertical="top"/>
    </xf>
    <xf numFmtId="3" fontId="10" fillId="34" borderId="26" xfId="0" applyNumberFormat="1" applyFont="1" applyFill="1" applyBorder="1" applyAlignment="1">
      <alignment horizontal="center" vertical="top"/>
    </xf>
    <xf numFmtId="165" fontId="10" fillId="34" borderId="26" xfId="0" applyNumberFormat="1" applyFont="1" applyFill="1" applyBorder="1" applyAlignment="1">
      <alignment horizontal="center" vertical="top"/>
    </xf>
    <xf numFmtId="1" fontId="10" fillId="34" borderId="26" xfId="0" applyNumberFormat="1" applyFont="1" applyFill="1" applyBorder="1" applyAlignment="1">
      <alignment horizontal="center" vertical="top"/>
    </xf>
    <xf numFmtId="3" fontId="10" fillId="38" borderId="22" xfId="0" applyNumberFormat="1" applyFont="1" applyFill="1" applyBorder="1" applyAlignment="1">
      <alignment horizontal="center" vertical="top"/>
    </xf>
    <xf numFmtId="3" fontId="10" fillId="34" borderId="22" xfId="0" applyNumberFormat="1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13" borderId="26" xfId="0" applyNumberFormat="1" applyFont="1" applyFill="1" applyBorder="1" applyAlignment="1" quotePrefix="1">
      <alignment horizontal="center"/>
    </xf>
    <xf numFmtId="0" fontId="1" fillId="33" borderId="22" xfId="0" applyFont="1" applyFill="1" applyBorder="1" applyAlignment="1" applyProtection="1">
      <alignment horizontal="left"/>
      <protection locked="0"/>
    </xf>
    <xf numFmtId="165" fontId="1" fillId="33" borderId="22" xfId="0" applyNumberFormat="1" applyFont="1" applyFill="1" applyBorder="1" applyAlignment="1" applyProtection="1">
      <alignment horizontal="center"/>
      <protection/>
    </xf>
    <xf numFmtId="166" fontId="1" fillId="13" borderId="26" xfId="0" applyNumberFormat="1" applyFont="1" applyFill="1" applyBorder="1" applyAlignment="1" applyProtection="1">
      <alignment horizontal="center"/>
      <protection locked="0"/>
    </xf>
    <xf numFmtId="165" fontId="1" fillId="35" borderId="14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 applyProtection="1">
      <alignment horizontal="center"/>
      <protection locked="0"/>
    </xf>
    <xf numFmtId="165" fontId="1" fillId="33" borderId="32" xfId="0" applyNumberFormat="1" applyFont="1" applyFill="1" applyBorder="1" applyAlignment="1">
      <alignment horizontal="center"/>
    </xf>
    <xf numFmtId="165" fontId="1" fillId="33" borderId="23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65" fontId="1" fillId="33" borderId="25" xfId="0" applyNumberFormat="1" applyFont="1" applyFill="1" applyBorder="1" applyAlignment="1">
      <alignment horizontal="center"/>
    </xf>
    <xf numFmtId="165" fontId="1" fillId="13" borderId="33" xfId="0" applyNumberFormat="1" applyFont="1" applyFill="1" applyBorder="1" applyAlignment="1">
      <alignment horizontal="center"/>
    </xf>
    <xf numFmtId="165" fontId="1" fillId="13" borderId="23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/>
    </xf>
    <xf numFmtId="165" fontId="1" fillId="13" borderId="11" xfId="0" applyNumberFormat="1" applyFont="1" applyFill="1" applyBorder="1" applyAlignment="1">
      <alignment horizontal="center"/>
    </xf>
    <xf numFmtId="165" fontId="1" fillId="13" borderId="41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165" fontId="1" fillId="38" borderId="32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 horizontal="center"/>
    </xf>
    <xf numFmtId="165" fontId="1" fillId="38" borderId="25" xfId="0" applyNumberFormat="1" applyFont="1" applyFill="1" applyBorder="1" applyAlignment="1">
      <alignment horizontal="center"/>
    </xf>
    <xf numFmtId="165" fontId="1" fillId="34" borderId="32" xfId="0" applyNumberFormat="1" applyFont="1" applyFill="1" applyBorder="1" applyAlignment="1">
      <alignment horizontal="center"/>
    </xf>
    <xf numFmtId="165" fontId="1" fillId="34" borderId="23" xfId="0" applyNumberFormat="1" applyFont="1" applyFill="1" applyBorder="1" applyAlignment="1">
      <alignment horizontal="center"/>
    </xf>
    <xf numFmtId="165" fontId="1" fillId="34" borderId="25" xfId="0" applyNumberFormat="1" applyFont="1" applyFill="1" applyBorder="1" applyAlignment="1">
      <alignment horizontal="center"/>
    </xf>
    <xf numFmtId="167" fontId="1" fillId="34" borderId="40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2" fontId="10" fillId="35" borderId="48" xfId="0" applyNumberFormat="1" applyFont="1" applyFill="1" applyBorder="1" applyAlignment="1">
      <alignment horizontal="left" vertical="center" wrapText="1"/>
    </xf>
    <xf numFmtId="1" fontId="10" fillId="35" borderId="21" xfId="0" applyNumberFormat="1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/>
    </xf>
    <xf numFmtId="2" fontId="10" fillId="35" borderId="30" xfId="0" applyNumberFormat="1" applyFont="1" applyFill="1" applyBorder="1" applyAlignment="1">
      <alignment horizontal="left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31" xfId="0" applyNumberFormat="1" applyFont="1" applyFill="1" applyBorder="1" applyAlignment="1">
      <alignment horizontal="left" vertical="center" wrapText="1"/>
    </xf>
    <xf numFmtId="1" fontId="10" fillId="35" borderId="22" xfId="0" applyNumberFormat="1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/>
    </xf>
    <xf numFmtId="2" fontId="10" fillId="35" borderId="22" xfId="0" applyNumberFormat="1" applyFont="1" applyFill="1" applyBorder="1" applyAlignment="1">
      <alignment horizontal="center" vertical="center"/>
    </xf>
    <xf numFmtId="2" fontId="10" fillId="39" borderId="48" xfId="0" applyNumberFormat="1" applyFont="1" applyFill="1" applyBorder="1" applyAlignment="1">
      <alignment vertical="center" wrapText="1"/>
    </xf>
    <xf numFmtId="1" fontId="10" fillId="39" borderId="21" xfId="0" applyNumberFormat="1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/>
    </xf>
    <xf numFmtId="2" fontId="10" fillId="39" borderId="21" xfId="0" applyNumberFormat="1" applyFont="1" applyFill="1" applyBorder="1" applyAlignment="1">
      <alignment horizontal="center" vertical="center"/>
    </xf>
    <xf numFmtId="2" fontId="10" fillId="39" borderId="30" xfId="0" applyNumberFormat="1" applyFont="1" applyFill="1" applyBorder="1" applyAlignment="1">
      <alignment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2" fontId="10" fillId="39" borderId="10" xfId="0" applyNumberFormat="1" applyFont="1" applyFill="1" applyBorder="1" applyAlignment="1">
      <alignment horizontal="center" vertical="center"/>
    </xf>
    <xf numFmtId="2" fontId="10" fillId="39" borderId="31" xfId="0" applyNumberFormat="1" applyFont="1" applyFill="1" applyBorder="1" applyAlignment="1">
      <alignment vertical="center" wrapText="1"/>
    </xf>
    <xf numFmtId="1" fontId="10" fillId="39" borderId="22" xfId="0" applyNumberFormat="1" applyFont="1" applyFill="1" applyBorder="1" applyAlignment="1">
      <alignment horizontal="center" vertical="center" wrapText="1"/>
    </xf>
    <xf numFmtId="0" fontId="10" fillId="39" borderId="22" xfId="0" applyFont="1" applyFill="1" applyBorder="1" applyAlignment="1">
      <alignment horizontal="center" vertical="center"/>
    </xf>
    <xf numFmtId="2" fontId="10" fillId="39" borderId="22" xfId="0" applyNumberFormat="1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/>
    </xf>
    <xf numFmtId="2" fontId="10" fillId="36" borderId="21" xfId="0" applyNumberFormat="1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/>
    </xf>
    <xf numFmtId="2" fontId="10" fillId="36" borderId="26" xfId="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/>
    </xf>
    <xf numFmtId="2" fontId="10" fillId="36" borderId="22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/>
      <protection locked="0"/>
    </xf>
    <xf numFmtId="166" fontId="1" fillId="33" borderId="21" xfId="0" applyNumberFormat="1" applyFont="1" applyFill="1" applyBorder="1" applyAlignment="1" applyProtection="1">
      <alignment horizontal="center"/>
      <protection locked="0"/>
    </xf>
    <xf numFmtId="166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40" xfId="0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 textRotation="90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right"/>
    </xf>
    <xf numFmtId="167" fontId="5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" fontId="1" fillId="39" borderId="26" xfId="0" applyNumberFormat="1" applyFont="1" applyFill="1" applyBorder="1" applyAlignment="1">
      <alignment horizontal="center" vertical="center"/>
    </xf>
    <xf numFmtId="2" fontId="1" fillId="34" borderId="43" xfId="0" applyNumberFormat="1" applyFont="1" applyFill="1" applyBorder="1" applyAlignment="1">
      <alignment horizontal="center"/>
    </xf>
    <xf numFmtId="0" fontId="10" fillId="13" borderId="48" xfId="0" applyFont="1" applyFill="1" applyBorder="1" applyAlignment="1" applyProtection="1">
      <alignment horizontal="left" vertical="center" wrapText="1"/>
      <protection locked="0"/>
    </xf>
    <xf numFmtId="0" fontId="10" fillId="13" borderId="21" xfId="0" applyFont="1" applyFill="1" applyBorder="1" applyAlignment="1" applyProtection="1">
      <alignment horizontal="center" vertical="center" wrapText="1"/>
      <protection locked="0"/>
    </xf>
    <xf numFmtId="0" fontId="10" fillId="13" borderId="21" xfId="0" applyFont="1" applyFill="1" applyBorder="1" applyAlignment="1" applyProtection="1">
      <alignment horizontal="center" vertical="center"/>
      <protection locked="0"/>
    </xf>
    <xf numFmtId="2" fontId="10" fillId="13" borderId="21" xfId="0" applyNumberFormat="1" applyFont="1" applyFill="1" applyBorder="1" applyAlignment="1">
      <alignment horizontal="center" vertical="center"/>
    </xf>
    <xf numFmtId="0" fontId="10" fillId="13" borderId="49" xfId="0" applyFont="1" applyFill="1" applyBorder="1" applyAlignment="1" applyProtection="1">
      <alignment horizontal="left" vertical="center" wrapText="1"/>
      <protection locked="0"/>
    </xf>
    <xf numFmtId="0" fontId="10" fillId="13" borderId="26" xfId="0" applyFont="1" applyFill="1" applyBorder="1" applyAlignment="1" applyProtection="1">
      <alignment horizontal="center" vertical="center" wrapText="1"/>
      <protection locked="0"/>
    </xf>
    <xf numFmtId="0" fontId="10" fillId="13" borderId="26" xfId="0" applyFont="1" applyFill="1" applyBorder="1" applyAlignment="1" applyProtection="1">
      <alignment horizontal="center" vertical="center"/>
      <protection locked="0"/>
    </xf>
    <xf numFmtId="2" fontId="10" fillId="13" borderId="26" xfId="0" applyNumberFormat="1" applyFont="1" applyFill="1" applyBorder="1" applyAlignment="1">
      <alignment horizontal="center" vertical="center"/>
    </xf>
    <xf numFmtId="0" fontId="10" fillId="13" borderId="30" xfId="0" applyFont="1" applyFill="1" applyBorder="1" applyAlignment="1" applyProtection="1">
      <alignment horizontal="left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/>
      <protection locked="0"/>
    </xf>
    <xf numFmtId="2" fontId="10" fillId="13" borderId="10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 applyProtection="1">
      <alignment horizontal="left" vertical="center" wrapText="1"/>
      <protection locked="0"/>
    </xf>
    <xf numFmtId="0" fontId="10" fillId="13" borderId="22" xfId="0" applyFont="1" applyFill="1" applyBorder="1" applyAlignment="1" applyProtection="1">
      <alignment horizontal="center" vertical="center" wrapText="1"/>
      <protection locked="0"/>
    </xf>
    <xf numFmtId="0" fontId="10" fillId="13" borderId="22" xfId="0" applyFont="1" applyFill="1" applyBorder="1" applyAlignment="1" applyProtection="1">
      <alignment horizontal="center" vertical="center"/>
      <protection locked="0"/>
    </xf>
    <xf numFmtId="2" fontId="10" fillId="13" borderId="22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13" borderId="14" xfId="0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166" fontId="1" fillId="13" borderId="14" xfId="0" applyNumberFormat="1" applyFont="1" applyFill="1" applyBorder="1" applyAlignment="1" applyProtection="1">
      <alignment horizontal="center"/>
      <protection locked="0"/>
    </xf>
    <xf numFmtId="1" fontId="1" fillId="13" borderId="14" xfId="0" applyNumberFormat="1" applyFont="1" applyFill="1" applyBorder="1" applyAlignment="1" applyProtection="1">
      <alignment horizontal="center"/>
      <protection locked="0"/>
    </xf>
    <xf numFmtId="167" fontId="1" fillId="13" borderId="14" xfId="0" applyNumberFormat="1" applyFont="1" applyFill="1" applyBorder="1" applyAlignment="1" applyProtection="1">
      <alignment horizontal="center"/>
      <protection/>
    </xf>
    <xf numFmtId="2" fontId="1" fillId="13" borderId="14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 applyProtection="1">
      <alignment horizontal="center"/>
      <protection/>
    </xf>
    <xf numFmtId="2" fontId="1" fillId="13" borderId="36" xfId="0" applyNumberFormat="1" applyFont="1" applyFill="1" applyBorder="1" applyAlignment="1" applyProtection="1">
      <alignment horizontal="center"/>
      <protection/>
    </xf>
    <xf numFmtId="1" fontId="1" fillId="34" borderId="22" xfId="0" applyNumberFormat="1" applyFont="1" applyFill="1" applyBorder="1" applyAlignment="1">
      <alignment/>
    </xf>
    <xf numFmtId="166" fontId="1" fillId="38" borderId="21" xfId="0" applyNumberFormat="1" applyFont="1" applyFill="1" applyBorder="1" applyAlignment="1">
      <alignment horizontal="center"/>
    </xf>
    <xf numFmtId="166" fontId="1" fillId="38" borderId="22" xfId="0" applyNumberFormat="1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77" fontId="1" fillId="35" borderId="21" xfId="0" applyNumberFormat="1" applyFont="1" applyFill="1" applyBorder="1" applyAlignment="1">
      <alignment horizontal="center" vertical="center" wrapText="1"/>
    </xf>
    <xf numFmtId="177" fontId="10" fillId="35" borderId="21" xfId="0" applyNumberFormat="1" applyFont="1" applyFill="1" applyBorder="1" applyAlignment="1">
      <alignment horizontal="center" vertical="center" wrapText="1"/>
    </xf>
    <xf numFmtId="177" fontId="1" fillId="35" borderId="10" xfId="0" applyNumberFormat="1" applyFont="1" applyFill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center" vertical="center" wrapText="1"/>
    </xf>
    <xf numFmtId="177" fontId="1" fillId="35" borderId="22" xfId="0" applyNumberFormat="1" applyFont="1" applyFill="1" applyBorder="1" applyAlignment="1">
      <alignment horizontal="center" vertical="center" wrapText="1"/>
    </xf>
    <xf numFmtId="177" fontId="10" fillId="35" borderId="22" xfId="0" applyNumberFormat="1" applyFont="1" applyFill="1" applyBorder="1" applyAlignment="1">
      <alignment horizontal="center" vertical="center" wrapText="1"/>
    </xf>
    <xf numFmtId="177" fontId="1" fillId="13" borderId="21" xfId="0" applyNumberFormat="1" applyFont="1" applyFill="1" applyBorder="1" applyAlignment="1">
      <alignment horizontal="center" vertical="center" wrapText="1"/>
    </xf>
    <xf numFmtId="177" fontId="10" fillId="13" borderId="21" xfId="0" applyNumberFormat="1" applyFont="1" applyFill="1" applyBorder="1" applyAlignment="1">
      <alignment horizontal="center" vertical="center" wrapText="1"/>
    </xf>
    <xf numFmtId="177" fontId="1" fillId="13" borderId="26" xfId="0" applyNumberFormat="1" applyFont="1" applyFill="1" applyBorder="1" applyAlignment="1">
      <alignment horizontal="center" vertical="center" wrapText="1"/>
    </xf>
    <xf numFmtId="177" fontId="10" fillId="13" borderId="26" xfId="0" applyNumberFormat="1" applyFont="1" applyFill="1" applyBorder="1" applyAlignment="1">
      <alignment horizontal="center" vertical="center" wrapText="1"/>
    </xf>
    <xf numFmtId="177" fontId="1" fillId="13" borderId="10" xfId="0" applyNumberFormat="1" applyFont="1" applyFill="1" applyBorder="1" applyAlignment="1">
      <alignment horizontal="center" vertical="center" wrapText="1"/>
    </xf>
    <xf numFmtId="177" fontId="10" fillId="13" borderId="10" xfId="0" applyNumberFormat="1" applyFont="1" applyFill="1" applyBorder="1" applyAlignment="1">
      <alignment horizontal="center" vertical="center" wrapText="1"/>
    </xf>
    <xf numFmtId="177" fontId="1" fillId="13" borderId="22" xfId="0" applyNumberFormat="1" applyFont="1" applyFill="1" applyBorder="1" applyAlignment="1">
      <alignment horizontal="center" vertical="center" wrapText="1"/>
    </xf>
    <xf numFmtId="177" fontId="10" fillId="13" borderId="22" xfId="0" applyNumberFormat="1" applyFont="1" applyFill="1" applyBorder="1" applyAlignment="1">
      <alignment horizontal="center" vertical="center" wrapText="1"/>
    </xf>
    <xf numFmtId="177" fontId="1" fillId="36" borderId="21" xfId="0" applyNumberFormat="1" applyFont="1" applyFill="1" applyBorder="1" applyAlignment="1">
      <alignment horizontal="center" vertical="center" wrapText="1"/>
    </xf>
    <xf numFmtId="177" fontId="10" fillId="36" borderId="21" xfId="0" applyNumberFormat="1" applyFont="1" applyFill="1" applyBorder="1" applyAlignment="1">
      <alignment horizontal="center" vertical="center" wrapText="1"/>
    </xf>
    <xf numFmtId="177" fontId="1" fillId="36" borderId="26" xfId="0" applyNumberFormat="1" applyFont="1" applyFill="1" applyBorder="1" applyAlignment="1">
      <alignment horizontal="center" vertical="center" wrapText="1"/>
    </xf>
    <xf numFmtId="177" fontId="10" fillId="36" borderId="26" xfId="0" applyNumberFormat="1" applyFont="1" applyFill="1" applyBorder="1" applyAlignment="1">
      <alignment horizontal="center" vertical="center" wrapText="1"/>
    </xf>
    <xf numFmtId="177" fontId="1" fillId="36" borderId="10" xfId="0" applyNumberFormat="1" applyFont="1" applyFill="1" applyBorder="1" applyAlignment="1">
      <alignment horizontal="center" vertical="center" wrapText="1"/>
    </xf>
    <xf numFmtId="177" fontId="10" fillId="36" borderId="10" xfId="0" applyNumberFormat="1" applyFont="1" applyFill="1" applyBorder="1" applyAlignment="1">
      <alignment horizontal="center" vertical="center" wrapText="1"/>
    </xf>
    <xf numFmtId="177" fontId="1" fillId="36" borderId="22" xfId="0" applyNumberFormat="1" applyFont="1" applyFill="1" applyBorder="1" applyAlignment="1">
      <alignment horizontal="center" vertical="center" wrapText="1"/>
    </xf>
    <xf numFmtId="177" fontId="10" fillId="36" borderId="22" xfId="0" applyNumberFormat="1" applyFont="1" applyFill="1" applyBorder="1" applyAlignment="1">
      <alignment horizontal="center" vertical="center" wrapText="1"/>
    </xf>
    <xf numFmtId="3" fontId="10" fillId="35" borderId="21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22" xfId="0" applyNumberFormat="1" applyFont="1" applyFill="1" applyBorder="1" applyAlignment="1">
      <alignment horizontal="center" vertical="center" wrapText="1"/>
    </xf>
    <xf numFmtId="3" fontId="10" fillId="13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13" borderId="10" xfId="0" applyNumberFormat="1" applyFont="1" applyFill="1" applyBorder="1" applyAlignment="1" applyProtection="1">
      <alignment horizontal="center" vertical="center"/>
      <protection locked="0"/>
    </xf>
    <xf numFmtId="3" fontId="10" fillId="13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36" borderId="21" xfId="0" applyNumberFormat="1" applyFont="1" applyFill="1" applyBorder="1" applyAlignment="1">
      <alignment horizontal="center" vertical="center" wrapText="1"/>
    </xf>
    <xf numFmtId="3" fontId="10" fillId="36" borderId="26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22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/>
    </xf>
    <xf numFmtId="165" fontId="51" fillId="33" borderId="26" xfId="0" applyNumberFormat="1" applyFont="1" applyFill="1" applyBorder="1" applyAlignment="1">
      <alignment horizontal="center"/>
    </xf>
    <xf numFmtId="167" fontId="1" fillId="35" borderId="14" xfId="0" applyNumberFormat="1" applyFont="1" applyFill="1" applyBorder="1" applyAlignment="1">
      <alignment horizontal="center"/>
    </xf>
    <xf numFmtId="180" fontId="10" fillId="35" borderId="21" xfId="0" applyNumberFormat="1" applyFont="1" applyFill="1" applyBorder="1" applyAlignment="1">
      <alignment horizontal="center" vertical="center" wrapText="1"/>
    </xf>
    <xf numFmtId="180" fontId="10" fillId="35" borderId="10" xfId="0" applyNumberFormat="1" applyFont="1" applyFill="1" applyBorder="1" applyAlignment="1">
      <alignment horizontal="center" vertical="center" wrapText="1"/>
    </xf>
    <xf numFmtId="180" fontId="10" fillId="35" borderId="22" xfId="0" applyNumberFormat="1" applyFont="1" applyFill="1" applyBorder="1" applyAlignment="1">
      <alignment horizontal="center" vertical="center" wrapText="1"/>
    </xf>
    <xf numFmtId="180" fontId="10" fillId="13" borderId="21" xfId="0" applyNumberFormat="1" applyFont="1" applyFill="1" applyBorder="1" applyAlignment="1">
      <alignment horizontal="center" vertical="center" wrapText="1"/>
    </xf>
    <xf numFmtId="180" fontId="10" fillId="13" borderId="26" xfId="0" applyNumberFormat="1" applyFont="1" applyFill="1" applyBorder="1" applyAlignment="1">
      <alignment horizontal="center" vertical="center" wrapText="1"/>
    </xf>
    <xf numFmtId="180" fontId="10" fillId="13" borderId="10" xfId="0" applyNumberFormat="1" applyFont="1" applyFill="1" applyBorder="1" applyAlignment="1">
      <alignment horizontal="center" vertical="center" wrapText="1"/>
    </xf>
    <xf numFmtId="180" fontId="10" fillId="13" borderId="22" xfId="0" applyNumberFormat="1" applyFont="1" applyFill="1" applyBorder="1" applyAlignment="1">
      <alignment horizontal="center" vertical="center" wrapText="1"/>
    </xf>
    <xf numFmtId="180" fontId="10" fillId="36" borderId="21" xfId="0" applyNumberFormat="1" applyFont="1" applyFill="1" applyBorder="1" applyAlignment="1">
      <alignment horizontal="center" vertical="center" wrapText="1"/>
    </xf>
    <xf numFmtId="180" fontId="10" fillId="36" borderId="26" xfId="0" applyNumberFormat="1" applyFont="1" applyFill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 wrapText="1"/>
    </xf>
    <xf numFmtId="180" fontId="10" fillId="36" borderId="22" xfId="0" applyNumberFormat="1" applyFont="1" applyFill="1" applyBorder="1" applyAlignment="1">
      <alignment horizontal="center" vertical="center" wrapText="1"/>
    </xf>
    <xf numFmtId="1" fontId="10" fillId="13" borderId="21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6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13" borderId="22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21" xfId="0" applyNumberFormat="1" applyFont="1" applyFill="1" applyBorder="1" applyAlignment="1">
      <alignment horizontal="center" vertical="center" wrapText="1"/>
    </xf>
    <xf numFmtId="1" fontId="10" fillId="36" borderId="26" xfId="0" applyNumberFormat="1" applyFont="1" applyFill="1" applyBorder="1" applyAlignment="1">
      <alignment horizontal="center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1" fontId="10" fillId="36" borderId="22" xfId="0" applyNumberFormat="1" applyFont="1" applyFill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center" vertical="top" wrapText="1"/>
    </xf>
    <xf numFmtId="167" fontId="10" fillId="13" borderId="10" xfId="0" applyNumberFormat="1" applyFont="1" applyFill="1" applyBorder="1" applyAlignment="1">
      <alignment horizontal="center" vertical="top" wrapText="1"/>
    </xf>
    <xf numFmtId="167" fontId="10" fillId="38" borderId="10" xfId="0" applyNumberFormat="1" applyFont="1" applyFill="1" applyBorder="1" applyAlignment="1">
      <alignment horizontal="center" vertical="top" wrapText="1"/>
    </xf>
    <xf numFmtId="167" fontId="10" fillId="34" borderId="10" xfId="0" applyNumberFormat="1" applyFont="1" applyFill="1" applyBorder="1" applyAlignment="1">
      <alignment horizontal="center" vertical="top" wrapText="1"/>
    </xf>
    <xf numFmtId="167" fontId="10" fillId="34" borderId="26" xfId="0" applyNumberFormat="1" applyFont="1" applyFill="1" applyBorder="1" applyAlignment="1">
      <alignment horizontal="center" vertical="top" wrapText="1"/>
    </xf>
    <xf numFmtId="166" fontId="1" fillId="34" borderId="21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2" fillId="33" borderId="22" xfId="0" applyNumberFormat="1" applyFont="1" applyFill="1" applyBorder="1" applyAlignment="1">
      <alignment horizontal="center" vertical="center" wrapText="1"/>
    </xf>
    <xf numFmtId="167" fontId="1" fillId="33" borderId="26" xfId="0" applyNumberFormat="1" applyFont="1" applyFill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 locked="0"/>
    </xf>
    <xf numFmtId="167" fontId="1" fillId="38" borderId="10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 locked="0"/>
    </xf>
    <xf numFmtId="0" fontId="1" fillId="13" borderId="23" xfId="0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167" fontId="1" fillId="33" borderId="21" xfId="0" applyNumberFormat="1" applyFont="1" applyFill="1" applyBorder="1" applyAlignment="1" applyProtection="1">
      <alignment horizontal="center"/>
      <protection locked="0"/>
    </xf>
    <xf numFmtId="167" fontId="1" fillId="33" borderId="22" xfId="0" applyNumberFormat="1" applyFont="1" applyFill="1" applyBorder="1" applyAlignment="1" applyProtection="1">
      <alignment horizontal="center"/>
      <protection locked="0"/>
    </xf>
    <xf numFmtId="167" fontId="1" fillId="13" borderId="21" xfId="0" applyNumberFormat="1" applyFont="1" applyFill="1" applyBorder="1" applyAlignment="1" applyProtection="1">
      <alignment horizontal="center"/>
      <protection locked="0"/>
    </xf>
    <xf numFmtId="167" fontId="1" fillId="13" borderId="22" xfId="0" applyNumberFormat="1" applyFont="1" applyFill="1" applyBorder="1" applyAlignment="1" applyProtection="1">
      <alignment horizontal="center"/>
      <protection locked="0"/>
    </xf>
    <xf numFmtId="167" fontId="1" fillId="38" borderId="26" xfId="0" applyNumberFormat="1" applyFont="1" applyFill="1" applyBorder="1" applyAlignment="1" applyProtection="1">
      <alignment horizontal="center"/>
      <protection locked="0"/>
    </xf>
    <xf numFmtId="167" fontId="1" fillId="38" borderId="11" xfId="0" applyNumberFormat="1" applyFont="1" applyFill="1" applyBorder="1" applyAlignment="1" applyProtection="1">
      <alignment horizontal="center"/>
      <protection locked="0"/>
    </xf>
    <xf numFmtId="167" fontId="1" fillId="34" borderId="21" xfId="0" applyNumberFormat="1" applyFont="1" applyFill="1" applyBorder="1" applyAlignment="1" applyProtection="1">
      <alignment horizontal="center"/>
      <protection locked="0"/>
    </xf>
    <xf numFmtId="167" fontId="1" fillId="34" borderId="22" xfId="0" applyNumberFormat="1" applyFont="1" applyFill="1" applyBorder="1" applyAlignment="1" applyProtection="1">
      <alignment horizontal="center"/>
      <protection locked="0"/>
    </xf>
    <xf numFmtId="166" fontId="1" fillId="36" borderId="21" xfId="0" applyNumberFormat="1" applyFont="1" applyFill="1" applyBorder="1" applyAlignment="1" applyProtection="1">
      <alignment horizontal="center"/>
      <protection locked="0"/>
    </xf>
    <xf numFmtId="167" fontId="1" fillId="36" borderId="26" xfId="0" applyNumberFormat="1" applyFont="1" applyFill="1" applyBorder="1" applyAlignment="1" applyProtection="1">
      <alignment horizontal="center"/>
      <protection/>
    </xf>
    <xf numFmtId="166" fontId="1" fillId="36" borderId="22" xfId="0" applyNumberFormat="1" applyFont="1" applyFill="1" applyBorder="1" applyAlignment="1" applyProtection="1">
      <alignment horizontal="center"/>
      <protection locked="0"/>
    </xf>
    <xf numFmtId="167" fontId="1" fillId="38" borderId="21" xfId="0" applyNumberFormat="1" applyFont="1" applyFill="1" applyBorder="1" applyAlignment="1" applyProtection="1">
      <alignment horizontal="center"/>
      <protection locked="0"/>
    </xf>
    <xf numFmtId="167" fontId="1" fillId="38" borderId="22" xfId="0" applyNumberFormat="1" applyFont="1" applyFill="1" applyBorder="1" applyAlignment="1" applyProtection="1">
      <alignment horizontal="center"/>
      <protection locked="0"/>
    </xf>
    <xf numFmtId="2" fontId="1" fillId="35" borderId="41" xfId="0" applyNumberFormat="1" applyFont="1" applyFill="1" applyBorder="1" applyAlignment="1">
      <alignment horizontal="center"/>
    </xf>
    <xf numFmtId="2" fontId="1" fillId="13" borderId="40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 applyProtection="1">
      <alignment horizontal="center"/>
      <protection/>
    </xf>
    <xf numFmtId="166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11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/>
    </xf>
    <xf numFmtId="167" fontId="1" fillId="36" borderId="11" xfId="0" applyNumberFormat="1" applyFont="1" applyFill="1" applyBorder="1" applyAlignment="1" applyProtection="1">
      <alignment horizontal="center"/>
      <protection/>
    </xf>
    <xf numFmtId="166" fontId="1" fillId="36" borderId="11" xfId="0" applyNumberFormat="1" applyFont="1" applyFill="1" applyBorder="1" applyAlignment="1" applyProtection="1">
      <alignment horizontal="center"/>
      <protection locked="0"/>
    </xf>
    <xf numFmtId="2" fontId="1" fillId="36" borderId="11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165" fontId="1" fillId="13" borderId="11" xfId="0" applyNumberFormat="1" applyFont="1" applyFill="1" applyBorder="1" applyAlignment="1">
      <alignment horizontal="center"/>
    </xf>
    <xf numFmtId="165" fontId="1" fillId="36" borderId="21" xfId="0" applyNumberFormat="1" applyFont="1" applyFill="1" applyBorder="1" applyAlignment="1">
      <alignment horizontal="center"/>
    </xf>
    <xf numFmtId="167" fontId="1" fillId="13" borderId="43" xfId="0" applyNumberFormat="1" applyFont="1" applyFill="1" applyBorder="1" applyAlignment="1">
      <alignment horizontal="center"/>
    </xf>
    <xf numFmtId="0" fontId="1" fillId="34" borderId="43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/>
    </xf>
    <xf numFmtId="1" fontId="1" fillId="34" borderId="43" xfId="0" applyNumberFormat="1" applyFont="1" applyFill="1" applyBorder="1" applyAlignment="1">
      <alignment horizontal="center"/>
    </xf>
    <xf numFmtId="1" fontId="1" fillId="34" borderId="40" xfId="0" applyNumberFormat="1" applyFont="1" applyFill="1" applyBorder="1" applyAlignment="1">
      <alignment horizontal="center"/>
    </xf>
    <xf numFmtId="167" fontId="1" fillId="33" borderId="26" xfId="0" applyNumberFormat="1" applyFont="1" applyFill="1" applyBorder="1" applyAlignment="1" applyProtection="1">
      <alignment horizontal="center"/>
      <protection/>
    </xf>
    <xf numFmtId="2" fontId="1" fillId="33" borderId="34" xfId="0" applyNumberFormat="1" applyFont="1" applyFill="1" applyBorder="1" applyAlignment="1" applyProtection="1">
      <alignment horizontal="center"/>
      <protection/>
    </xf>
    <xf numFmtId="2" fontId="1" fillId="13" borderId="33" xfId="0" applyNumberFormat="1" applyFont="1" applyFill="1" applyBorder="1" applyAlignment="1" applyProtection="1">
      <alignment horizontal="center"/>
      <protection/>
    </xf>
    <xf numFmtId="167" fontId="1" fillId="13" borderId="26" xfId="0" applyNumberFormat="1" applyFont="1" applyFill="1" applyBorder="1" applyAlignment="1" applyProtection="1">
      <alignment horizontal="center"/>
      <protection locked="0"/>
    </xf>
    <xf numFmtId="0" fontId="1" fillId="0" borderId="51" xfId="0" applyFont="1" applyBorder="1" applyAlignment="1">
      <alignment/>
    </xf>
    <xf numFmtId="0" fontId="1" fillId="13" borderId="30" xfId="0" applyFont="1" applyFill="1" applyBorder="1" applyAlignment="1">
      <alignment/>
    </xf>
    <xf numFmtId="0" fontId="1" fillId="13" borderId="31" xfId="0" applyFont="1" applyFill="1" applyBorder="1" applyAlignment="1">
      <alignment/>
    </xf>
    <xf numFmtId="0" fontId="1" fillId="38" borderId="48" xfId="0" applyFont="1" applyFill="1" applyBorder="1" applyAlignment="1">
      <alignment/>
    </xf>
    <xf numFmtId="0" fontId="1" fillId="38" borderId="30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13" borderId="48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2" fontId="10" fillId="35" borderId="26" xfId="0" applyNumberFormat="1" applyFont="1" applyFill="1" applyBorder="1" applyAlignment="1">
      <alignment horizontal="center" vertical="center"/>
    </xf>
    <xf numFmtId="167" fontId="10" fillId="13" borderId="26" xfId="0" applyNumberFormat="1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/>
    </xf>
    <xf numFmtId="167" fontId="10" fillId="38" borderId="26" xfId="0" applyNumberFormat="1" applyFont="1" applyFill="1" applyBorder="1" applyAlignment="1">
      <alignment horizontal="center" vertical="top" wrapText="1"/>
    </xf>
    <xf numFmtId="167" fontId="1" fillId="34" borderId="26" xfId="0" applyNumberFormat="1" applyFon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50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1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41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/>
    </xf>
    <xf numFmtId="0" fontId="4" fillId="33" borderId="52" xfId="0" applyFont="1" applyFill="1" applyBorder="1" applyAlignment="1">
      <alignment horizontal="center" vertical="center" textRotation="90" wrapText="1"/>
    </xf>
    <xf numFmtId="0" fontId="4" fillId="33" borderId="53" xfId="0" applyFont="1" applyFill="1" applyBorder="1" applyAlignment="1">
      <alignment horizontal="center" vertical="center" textRotation="90" wrapText="1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3" borderId="54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13" borderId="52" xfId="0" applyFont="1" applyFill="1" applyBorder="1" applyAlignment="1">
      <alignment horizontal="center" vertical="center" textRotation="90" wrapText="1"/>
    </xf>
    <xf numFmtId="0" fontId="4" fillId="13" borderId="53" xfId="0" applyFont="1" applyFill="1" applyBorder="1" applyAlignment="1">
      <alignment horizontal="center" vertical="center" textRotation="90" wrapText="1"/>
    </xf>
    <xf numFmtId="0" fontId="4" fillId="13" borderId="54" xfId="0" applyFont="1" applyFill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2" fillId="0" borderId="55" xfId="0" applyFont="1" applyBorder="1" applyAlignment="1">
      <alignment horizontal="center"/>
    </xf>
    <xf numFmtId="0" fontId="1" fillId="38" borderId="26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 textRotation="90" wrapText="1"/>
    </xf>
    <xf numFmtId="0" fontId="1" fillId="38" borderId="22" xfId="0" applyFont="1" applyFill="1" applyBorder="1" applyAlignment="1">
      <alignment horizontal="center" vertical="center" textRotation="90" wrapText="1"/>
    </xf>
    <xf numFmtId="0" fontId="1" fillId="34" borderId="26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4" fillId="34" borderId="56" xfId="0" applyFont="1" applyFill="1" applyBorder="1" applyAlignment="1">
      <alignment horizontal="center" vertical="center" textRotation="90" wrapText="1"/>
    </xf>
    <xf numFmtId="0" fontId="1" fillId="34" borderId="57" xfId="0" applyFont="1" applyFill="1" applyBorder="1" applyAlignment="1">
      <alignment horizontal="center" vertical="center" textRotation="90" wrapText="1"/>
    </xf>
    <xf numFmtId="0" fontId="1" fillId="34" borderId="58" xfId="0" applyFont="1" applyFill="1" applyBorder="1" applyAlignment="1">
      <alignment horizontal="center" vertical="center" textRotation="90" wrapText="1"/>
    </xf>
    <xf numFmtId="0" fontId="4" fillId="34" borderId="26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38" borderId="26" xfId="0" applyFont="1" applyFill="1" applyBorder="1" applyAlignment="1">
      <alignment horizontal="center" vertical="center" textRotation="90" wrapText="1"/>
    </xf>
    <xf numFmtId="0" fontId="4" fillId="33" borderId="56" xfId="0" applyFont="1" applyFill="1" applyBorder="1" applyAlignment="1">
      <alignment horizontal="center" vertical="center" textRotation="90" wrapText="1"/>
    </xf>
    <xf numFmtId="0" fontId="1" fillId="33" borderId="57" xfId="0" applyFont="1" applyFill="1" applyBorder="1" applyAlignment="1">
      <alignment horizontal="center" vertical="center" textRotation="90" wrapText="1"/>
    </xf>
    <xf numFmtId="0" fontId="4" fillId="38" borderId="60" xfId="0" applyFont="1" applyFill="1" applyBorder="1" applyAlignment="1">
      <alignment horizontal="center" vertical="center" textRotation="90" wrapText="1"/>
    </xf>
    <xf numFmtId="0" fontId="1" fillId="38" borderId="61" xfId="0" applyFont="1" applyFill="1" applyBorder="1" applyAlignment="1">
      <alignment horizontal="center" vertical="center" textRotation="90" wrapText="1"/>
    </xf>
    <xf numFmtId="0" fontId="1" fillId="38" borderId="62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textRotation="90" wrapText="1"/>
    </xf>
    <xf numFmtId="0" fontId="4" fillId="33" borderId="38" xfId="0" applyFont="1" applyFill="1" applyBorder="1" applyAlignment="1">
      <alignment horizontal="center" vertical="center" textRotation="90" wrapText="1"/>
    </xf>
    <xf numFmtId="0" fontId="4" fillId="33" borderId="37" xfId="0" applyFont="1" applyFill="1" applyBorder="1" applyAlignment="1">
      <alignment horizontal="center" vertical="center" textRotation="90" wrapText="1"/>
    </xf>
    <xf numFmtId="0" fontId="4" fillId="13" borderId="60" xfId="0" applyFont="1" applyFill="1" applyBorder="1" applyAlignment="1">
      <alignment horizontal="center" vertical="center" textRotation="90" wrapText="1"/>
    </xf>
    <xf numFmtId="0" fontId="1" fillId="13" borderId="61" xfId="0" applyFont="1" applyFill="1" applyBorder="1" applyAlignment="1">
      <alignment horizontal="center" vertical="center" textRotation="90" wrapText="1"/>
    </xf>
    <xf numFmtId="0" fontId="1" fillId="13" borderId="62" xfId="0" applyFont="1" applyFill="1" applyBorder="1" applyAlignment="1">
      <alignment horizontal="center" vertical="center" textRotation="90" wrapText="1"/>
    </xf>
    <xf numFmtId="0" fontId="4" fillId="34" borderId="60" xfId="0" applyFont="1" applyFill="1" applyBorder="1" applyAlignment="1">
      <alignment horizontal="center" vertical="center" textRotation="90" wrapText="1"/>
    </xf>
    <xf numFmtId="0" fontId="4" fillId="34" borderId="65" xfId="0" applyFont="1" applyFill="1" applyBorder="1" applyAlignment="1">
      <alignment horizontal="center" vertical="center" textRotation="90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34" borderId="6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" fillId="38" borderId="66" xfId="0" applyFont="1" applyFill="1" applyBorder="1" applyAlignment="1">
      <alignment horizontal="center" vertical="center" textRotation="90" wrapText="1"/>
    </xf>
    <xf numFmtId="0" fontId="4" fillId="13" borderId="65" xfId="0" applyFont="1" applyFill="1" applyBorder="1" applyAlignment="1">
      <alignment horizontal="center" vertical="center" textRotation="90" wrapText="1"/>
    </xf>
    <xf numFmtId="0" fontId="1" fillId="13" borderId="66" xfId="0" applyFont="1" applyFill="1" applyBorder="1" applyAlignment="1">
      <alignment horizontal="center" vertical="center" textRotation="90" wrapText="1"/>
    </xf>
    <xf numFmtId="0" fontId="4" fillId="38" borderId="67" xfId="0" applyFont="1" applyFill="1" applyBorder="1" applyAlignment="1">
      <alignment horizontal="center" vertical="center" textRotation="90" wrapText="1"/>
    </xf>
    <xf numFmtId="0" fontId="1" fillId="38" borderId="57" xfId="0" applyFont="1" applyFill="1" applyBorder="1" applyAlignment="1">
      <alignment horizontal="center" vertical="center" textRotation="90" wrapText="1"/>
    </xf>
    <xf numFmtId="0" fontId="1" fillId="38" borderId="68" xfId="0" applyFont="1" applyFill="1" applyBorder="1" applyAlignment="1">
      <alignment horizontal="center" vertical="center" textRotation="90" wrapText="1"/>
    </xf>
    <xf numFmtId="0" fontId="1" fillId="38" borderId="58" xfId="0" applyFont="1" applyFill="1" applyBorder="1" applyAlignment="1">
      <alignment horizontal="center" vertical="center" textRotation="90" wrapText="1"/>
    </xf>
    <xf numFmtId="0" fontId="1" fillId="33" borderId="58" xfId="0" applyFont="1" applyFill="1" applyBorder="1" applyAlignment="1">
      <alignment horizontal="center" vertical="center" textRotation="90" wrapText="1"/>
    </xf>
    <xf numFmtId="0" fontId="4" fillId="13" borderId="26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2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4" fillId="33" borderId="60" xfId="0" applyFont="1" applyFill="1" applyBorder="1" applyAlignment="1">
      <alignment horizontal="center" vertical="center" textRotation="90" wrapText="1"/>
    </xf>
    <xf numFmtId="0" fontId="4" fillId="33" borderId="61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1" fillId="13" borderId="26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3" borderId="22" xfId="0" applyFont="1" applyFill="1" applyBorder="1" applyAlignment="1">
      <alignment horizontal="center" vertical="center" textRotation="90" wrapText="1"/>
    </xf>
    <xf numFmtId="0" fontId="1" fillId="38" borderId="67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center" vertical="center" textRotation="90" wrapText="1"/>
    </xf>
    <xf numFmtId="0" fontId="1" fillId="33" borderId="62" xfId="0" applyFont="1" applyFill="1" applyBorder="1" applyAlignment="1">
      <alignment horizontal="center" vertical="center" textRotation="90" wrapText="1"/>
    </xf>
    <xf numFmtId="0" fontId="1" fillId="13" borderId="60" xfId="0" applyFont="1" applyFill="1" applyBorder="1" applyAlignment="1">
      <alignment horizontal="center" vertical="center" textRotation="90" wrapText="1"/>
    </xf>
    <xf numFmtId="0" fontId="1" fillId="38" borderId="60" xfId="0" applyFont="1" applyFill="1" applyBorder="1" applyAlignment="1">
      <alignment horizontal="center" vertical="center" textRotation="90" wrapText="1"/>
    </xf>
    <xf numFmtId="0" fontId="1" fillId="34" borderId="38" xfId="0" applyFont="1" applyFill="1" applyBorder="1" applyAlignment="1">
      <alignment horizontal="center" vertical="center" textRotation="90" wrapText="1"/>
    </xf>
    <xf numFmtId="0" fontId="1" fillId="34" borderId="37" xfId="0" applyFont="1" applyFill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4" borderId="6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1" fillId="13" borderId="68" xfId="0" applyFont="1" applyFill="1" applyBorder="1" applyAlignment="1">
      <alignment horizontal="center" vertical="center" textRotation="90" wrapText="1"/>
    </xf>
    <xf numFmtId="0" fontId="1" fillId="13" borderId="53" xfId="0" applyFont="1" applyFill="1" applyBorder="1" applyAlignment="1">
      <alignment horizontal="center" vertical="center" textRotation="90" wrapText="1"/>
    </xf>
    <xf numFmtId="0" fontId="1" fillId="13" borderId="54" xfId="0" applyFont="1" applyFill="1" applyBorder="1" applyAlignment="1">
      <alignment horizontal="center" vertical="center" textRotation="90" wrapText="1"/>
    </xf>
    <xf numFmtId="0" fontId="1" fillId="38" borderId="40" xfId="0" applyFont="1" applyFill="1" applyBorder="1" applyAlignment="1">
      <alignment horizontal="center" vertical="center" textRotation="90" wrapText="1"/>
    </xf>
    <xf numFmtId="0" fontId="1" fillId="38" borderId="1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" fillId="33" borderId="56" xfId="0" applyFont="1" applyFill="1" applyBorder="1" applyAlignment="1">
      <alignment horizontal="center" vertical="center" textRotation="90" wrapText="1"/>
    </xf>
    <xf numFmtId="0" fontId="1" fillId="33" borderId="67" xfId="0" applyFont="1" applyFill="1" applyBorder="1" applyAlignment="1">
      <alignment horizontal="center" vertical="center" textRotation="90" wrapText="1"/>
    </xf>
    <xf numFmtId="0" fontId="1" fillId="13" borderId="56" xfId="0" applyFont="1" applyFill="1" applyBorder="1" applyAlignment="1">
      <alignment horizontal="center" vertical="center" textRotation="90" wrapText="1"/>
    </xf>
    <xf numFmtId="0" fontId="1" fillId="13" borderId="57" xfId="0" applyFont="1" applyFill="1" applyBorder="1" applyAlignment="1">
      <alignment horizontal="center" vertical="center" textRotation="90" wrapText="1"/>
    </xf>
    <xf numFmtId="0" fontId="1" fillId="13" borderId="58" xfId="0" applyFont="1" applyFill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4" fillId="38" borderId="56" xfId="0" applyFont="1" applyFill="1" applyBorder="1" applyAlignment="1">
      <alignment horizontal="center" vertical="center" textRotation="90" wrapText="1"/>
    </xf>
    <xf numFmtId="0" fontId="4" fillId="13" borderId="67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4" fillId="38" borderId="65" xfId="0" applyFont="1" applyFill="1" applyBorder="1" applyAlignment="1">
      <alignment horizontal="center" vertical="center" textRotation="90" wrapText="1"/>
    </xf>
    <xf numFmtId="0" fontId="1" fillId="33" borderId="64" xfId="0" applyFont="1" applyFill="1" applyBorder="1" applyAlignment="1">
      <alignment horizontal="center" vertical="center" textRotation="90" wrapText="1"/>
    </xf>
    <xf numFmtId="0" fontId="1" fillId="33" borderId="38" xfId="0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textRotation="90" wrapText="1"/>
    </xf>
    <xf numFmtId="0" fontId="1" fillId="13" borderId="64" xfId="0" applyFont="1" applyFill="1" applyBorder="1" applyAlignment="1">
      <alignment horizontal="center" vertical="center" textRotation="90" wrapText="1"/>
    </xf>
    <xf numFmtId="0" fontId="1" fillId="13" borderId="38" xfId="0" applyFont="1" applyFill="1" applyBorder="1" applyAlignment="1">
      <alignment horizontal="center" vertical="center" textRotation="90" wrapText="1"/>
    </xf>
    <xf numFmtId="0" fontId="1" fillId="13" borderId="37" xfId="0" applyFont="1" applyFill="1" applyBorder="1" applyAlignment="1">
      <alignment horizontal="center" vertical="center" textRotation="90" wrapText="1"/>
    </xf>
    <xf numFmtId="0" fontId="1" fillId="38" borderId="52" xfId="0" applyFont="1" applyFill="1" applyBorder="1" applyAlignment="1">
      <alignment horizontal="center" vertical="center" textRotation="90" wrapText="1"/>
    </xf>
    <xf numFmtId="0" fontId="1" fillId="38" borderId="53" xfId="0" applyFont="1" applyFill="1" applyBorder="1" applyAlignment="1">
      <alignment horizontal="center" vertical="center" textRotation="90" wrapText="1"/>
    </xf>
    <xf numFmtId="0" fontId="1" fillId="38" borderId="54" xfId="0" applyFont="1" applyFill="1" applyBorder="1" applyAlignment="1">
      <alignment horizontal="center" vertical="center" textRotation="90" wrapText="1"/>
    </xf>
    <xf numFmtId="0" fontId="4" fillId="33" borderId="54" xfId="0" applyFont="1" applyFill="1" applyBorder="1" applyAlignment="1">
      <alignment horizontal="center" vertical="center" textRotation="90" wrapText="1"/>
    </xf>
    <xf numFmtId="0" fontId="4" fillId="38" borderId="52" xfId="0" applyFont="1" applyFill="1" applyBorder="1" applyAlignment="1">
      <alignment horizontal="center" vertical="center" textRotation="90" wrapText="1"/>
    </xf>
    <xf numFmtId="0" fontId="4" fillId="38" borderId="53" xfId="0" applyFont="1" applyFill="1" applyBorder="1" applyAlignment="1">
      <alignment horizontal="center" vertical="center" textRotation="90" wrapText="1"/>
    </xf>
    <xf numFmtId="0" fontId="4" fillId="38" borderId="54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4" fillId="34" borderId="53" xfId="0" applyFont="1" applyFill="1" applyBorder="1" applyAlignment="1">
      <alignment horizontal="center" vertical="center" textRotation="90" wrapText="1"/>
    </xf>
    <xf numFmtId="0" fontId="1" fillId="34" borderId="53" xfId="0" applyFont="1" applyFill="1" applyBorder="1" applyAlignment="1">
      <alignment horizontal="center" vertical="center" textRotation="90" wrapText="1"/>
    </xf>
    <xf numFmtId="0" fontId="1" fillId="34" borderId="54" xfId="0" applyFont="1" applyFill="1" applyBorder="1" applyAlignment="1">
      <alignment horizontal="center" vertical="center" textRotation="90" wrapText="1"/>
    </xf>
    <xf numFmtId="0" fontId="4" fillId="13" borderId="56" xfId="0" applyFont="1" applyFill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4" fillId="34" borderId="63" xfId="0" applyFont="1" applyFill="1" applyBorder="1" applyAlignment="1">
      <alignment horizontal="center" vertical="center" textRotation="90" wrapText="1"/>
    </xf>
    <xf numFmtId="0" fontId="4" fillId="34" borderId="69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1" fillId="34" borderId="56" xfId="0" applyFont="1" applyFill="1" applyBorder="1" applyAlignment="1">
      <alignment horizontal="center" vertical="center" textRotation="90" wrapText="1"/>
    </xf>
    <xf numFmtId="177" fontId="1" fillId="38" borderId="21" xfId="0" applyNumberFormat="1" applyFont="1" applyFill="1" applyBorder="1" applyAlignment="1">
      <alignment horizontal="center" vertical="center" wrapText="1"/>
    </xf>
    <xf numFmtId="177" fontId="10" fillId="38" borderId="21" xfId="0" applyNumberFormat="1" applyFont="1" applyFill="1" applyBorder="1" applyAlignment="1">
      <alignment horizontal="center" vertical="center" wrapText="1"/>
    </xf>
    <xf numFmtId="3" fontId="10" fillId="38" borderId="21" xfId="0" applyNumberFormat="1" applyFont="1" applyFill="1" applyBorder="1" applyAlignment="1">
      <alignment horizontal="center" vertical="center" wrapText="1"/>
    </xf>
    <xf numFmtId="180" fontId="10" fillId="38" borderId="21" xfId="0" applyNumberFormat="1" applyFont="1" applyFill="1" applyBorder="1" applyAlignment="1">
      <alignment horizontal="center" vertical="center" wrapText="1"/>
    </xf>
    <xf numFmtId="177" fontId="1" fillId="38" borderId="10" xfId="0" applyNumberFormat="1" applyFont="1" applyFill="1" applyBorder="1" applyAlignment="1">
      <alignment horizontal="center" vertical="center" wrapText="1"/>
    </xf>
    <xf numFmtId="177" fontId="10" fillId="38" borderId="10" xfId="0" applyNumberFormat="1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180" fontId="10" fillId="38" borderId="10" xfId="0" applyNumberFormat="1" applyFont="1" applyFill="1" applyBorder="1" applyAlignment="1">
      <alignment horizontal="center" vertical="center" wrapText="1"/>
    </xf>
    <xf numFmtId="177" fontId="1" fillId="38" borderId="22" xfId="0" applyNumberFormat="1" applyFont="1" applyFill="1" applyBorder="1" applyAlignment="1">
      <alignment horizontal="center" vertical="center" wrapText="1"/>
    </xf>
    <xf numFmtId="177" fontId="10" fillId="38" borderId="22" xfId="0" applyNumberFormat="1" applyFont="1" applyFill="1" applyBorder="1" applyAlignment="1">
      <alignment horizontal="center" vertical="center" wrapText="1"/>
    </xf>
    <xf numFmtId="3" fontId="10" fillId="38" borderId="22" xfId="0" applyNumberFormat="1" applyFont="1" applyFill="1" applyBorder="1" applyAlignment="1">
      <alignment horizontal="center" vertical="center" wrapText="1"/>
    </xf>
    <xf numFmtId="180" fontId="10" fillId="38" borderId="22" xfId="0" applyNumberFormat="1" applyFont="1" applyFill="1" applyBorder="1" applyAlignment="1">
      <alignment horizontal="center" vertical="center" wrapText="1"/>
    </xf>
    <xf numFmtId="165" fontId="1" fillId="38" borderId="43" xfId="0" applyNumberFormat="1" applyFont="1" applyFill="1" applyBorder="1" applyAlignment="1">
      <alignment horizontal="center"/>
    </xf>
    <xf numFmtId="2" fontId="1" fillId="38" borderId="46" xfId="0" applyNumberFormat="1" applyFont="1" applyFill="1" applyBorder="1" applyAlignment="1">
      <alignment horizontal="center"/>
    </xf>
    <xf numFmtId="2" fontId="1" fillId="38" borderId="47" xfId="0" applyNumberFormat="1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center"/>
    </xf>
    <xf numFmtId="165" fontId="1" fillId="38" borderId="40" xfId="0" applyNumberFormat="1" applyFont="1" applyFill="1" applyBorder="1" applyAlignment="1">
      <alignment horizontal="center"/>
    </xf>
    <xf numFmtId="2" fontId="1" fillId="38" borderId="44" xfId="0" applyNumberFormat="1" applyFont="1" applyFill="1" applyBorder="1" applyAlignment="1">
      <alignment horizontal="center"/>
    </xf>
    <xf numFmtId="2" fontId="1" fillId="38" borderId="45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 applyProtection="1">
      <alignment horizontal="center"/>
      <protection/>
    </xf>
    <xf numFmtId="166" fontId="1" fillId="38" borderId="21" xfId="0" applyNumberFormat="1" applyFont="1" applyFill="1" applyBorder="1" applyAlignment="1" applyProtection="1">
      <alignment horizontal="center"/>
      <protection locked="0"/>
    </xf>
    <xf numFmtId="2" fontId="1" fillId="38" borderId="21" xfId="0" applyNumberFormat="1" applyFont="1" applyFill="1" applyBorder="1" applyAlignment="1" applyProtection="1">
      <alignment horizontal="center"/>
      <protection/>
    </xf>
    <xf numFmtId="2" fontId="1" fillId="38" borderId="39" xfId="0" applyNumberFormat="1" applyFont="1" applyFill="1" applyBorder="1" applyAlignment="1" applyProtection="1">
      <alignment horizontal="center"/>
      <protection/>
    </xf>
    <xf numFmtId="166" fontId="1" fillId="38" borderId="10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>
      <alignment horizontal="center"/>
    </xf>
    <xf numFmtId="166" fontId="1" fillId="38" borderId="11" xfId="0" applyNumberFormat="1" applyFont="1" applyFill="1" applyBorder="1" applyAlignment="1" applyProtection="1">
      <alignment horizontal="center"/>
      <protection locked="0"/>
    </xf>
    <xf numFmtId="2" fontId="1" fillId="38" borderId="40" xfId="0" applyNumberFormat="1" applyFont="1" applyFill="1" applyBorder="1" applyAlignment="1">
      <alignment horizontal="center"/>
    </xf>
    <xf numFmtId="166" fontId="1" fillId="38" borderId="22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5742187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976" t="s">
        <v>82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</row>
    <row r="2" spans="1:17" s="17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1" s="19" customFormat="1" ht="13.5" customHeight="1">
      <c r="A3" s="979" t="s">
        <v>31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U3" s="653"/>
    </row>
    <row r="4" spans="1:17" s="17" customFormat="1" ht="13.5" customHeight="1" thickBot="1">
      <c r="A4" s="980" t="s">
        <v>84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customHeight="1">
      <c r="A5" s="960" t="s">
        <v>1</v>
      </c>
      <c r="B5" s="956" t="s">
        <v>0</v>
      </c>
      <c r="C5" s="958" t="s">
        <v>2</v>
      </c>
      <c r="D5" s="958" t="s">
        <v>3</v>
      </c>
      <c r="E5" s="958" t="s">
        <v>13</v>
      </c>
      <c r="F5" s="970" t="s">
        <v>14</v>
      </c>
      <c r="G5" s="971"/>
      <c r="H5" s="971"/>
      <c r="I5" s="972"/>
      <c r="J5" s="958" t="s">
        <v>4</v>
      </c>
      <c r="K5" s="958" t="s">
        <v>15</v>
      </c>
      <c r="L5" s="958" t="s">
        <v>5</v>
      </c>
      <c r="M5" s="958" t="s">
        <v>6</v>
      </c>
      <c r="N5" s="958" t="s">
        <v>16</v>
      </c>
      <c r="O5" s="958" t="s">
        <v>17</v>
      </c>
      <c r="P5" s="977" t="s">
        <v>25</v>
      </c>
      <c r="Q5" s="981" t="s">
        <v>26</v>
      </c>
    </row>
    <row r="6" spans="1:22" s="2" customFormat="1" ht="33.75">
      <c r="A6" s="961"/>
      <c r="B6" s="957"/>
      <c r="C6" s="959"/>
      <c r="D6" s="973"/>
      <c r="E6" s="973"/>
      <c r="F6" s="9" t="s">
        <v>18</v>
      </c>
      <c r="G6" s="9" t="s">
        <v>19</v>
      </c>
      <c r="H6" s="9" t="s">
        <v>20</v>
      </c>
      <c r="I6" s="9" t="s">
        <v>21</v>
      </c>
      <c r="J6" s="973"/>
      <c r="K6" s="973"/>
      <c r="L6" s="973"/>
      <c r="M6" s="973"/>
      <c r="N6" s="973"/>
      <c r="O6" s="973"/>
      <c r="P6" s="978"/>
      <c r="Q6" s="982"/>
      <c r="S6" s="165"/>
      <c r="T6" s="165"/>
      <c r="U6" s="165"/>
      <c r="V6" s="165"/>
    </row>
    <row r="7" spans="1:22" s="3" customFormat="1" ht="13.5" customHeight="1" thickBot="1">
      <c r="A7" s="962"/>
      <c r="B7" s="957"/>
      <c r="C7" s="959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69</v>
      </c>
      <c r="N7" s="10" t="s">
        <v>10</v>
      </c>
      <c r="O7" s="10" t="s">
        <v>70</v>
      </c>
      <c r="P7" s="15" t="s">
        <v>27</v>
      </c>
      <c r="Q7" s="11" t="s">
        <v>28</v>
      </c>
      <c r="S7" s="166"/>
      <c r="T7" s="166"/>
      <c r="U7" s="167"/>
      <c r="V7" s="167"/>
    </row>
    <row r="8" spans="1:23" ht="12.75" customHeight="1">
      <c r="A8" s="963" t="s">
        <v>51</v>
      </c>
      <c r="B8" s="108">
        <v>1</v>
      </c>
      <c r="C8" s="29" t="s">
        <v>85</v>
      </c>
      <c r="D8" s="30">
        <v>116</v>
      </c>
      <c r="E8" s="30">
        <v>2007</v>
      </c>
      <c r="F8" s="378">
        <v>95.548</v>
      </c>
      <c r="G8" s="378">
        <v>23.3508</v>
      </c>
      <c r="H8" s="378">
        <v>9.28</v>
      </c>
      <c r="I8" s="378">
        <v>62.917199999999994</v>
      </c>
      <c r="J8" s="395">
        <v>7056.51</v>
      </c>
      <c r="K8" s="401">
        <v>62.917201</v>
      </c>
      <c r="L8" s="395">
        <v>7056.51</v>
      </c>
      <c r="M8" s="401">
        <f aca="true" t="shared" si="0" ref="M8:M48">K8/L8</f>
        <v>0.008916192423733545</v>
      </c>
      <c r="N8" s="30">
        <v>296.48</v>
      </c>
      <c r="O8" s="246">
        <f aca="true" t="shared" si="1" ref="O8:O48">M8*N8</f>
        <v>2.6434727297885217</v>
      </c>
      <c r="P8" s="246">
        <f aca="true" t="shared" si="2" ref="P8:P48">M8*60*1000</f>
        <v>534.9715454240127</v>
      </c>
      <c r="Q8" s="239">
        <f aca="true" t="shared" si="3" ref="Q8:Q48">P8*N8/1000</f>
        <v>158.60836378731128</v>
      </c>
      <c r="R8" s="80"/>
      <c r="S8" s="168"/>
      <c r="T8" s="168"/>
      <c r="U8" s="169"/>
      <c r="V8" s="170"/>
      <c r="W8" s="12"/>
    </row>
    <row r="9" spans="1:23" ht="12.75">
      <c r="A9" s="964"/>
      <c r="B9" s="101">
        <v>2</v>
      </c>
      <c r="C9" s="16" t="s">
        <v>86</v>
      </c>
      <c r="D9" s="31">
        <v>47</v>
      </c>
      <c r="E9" s="31">
        <v>2007</v>
      </c>
      <c r="F9" s="240">
        <v>40.63</v>
      </c>
      <c r="G9" s="240">
        <v>9.821682</v>
      </c>
      <c r="H9" s="240">
        <v>3.76</v>
      </c>
      <c r="I9" s="240">
        <v>27.048318000000002</v>
      </c>
      <c r="J9" s="163">
        <v>2876.41</v>
      </c>
      <c r="K9" s="122">
        <v>27.048315</v>
      </c>
      <c r="L9" s="163">
        <v>2876.41</v>
      </c>
      <c r="M9" s="122">
        <f t="shared" si="0"/>
        <v>0.009403497762836313</v>
      </c>
      <c r="N9" s="31">
        <v>297.67900000000003</v>
      </c>
      <c r="O9" s="121">
        <f t="shared" si="1"/>
        <v>2.799223810543351</v>
      </c>
      <c r="P9" s="121">
        <f t="shared" si="2"/>
        <v>564.2098657701788</v>
      </c>
      <c r="Q9" s="123">
        <f t="shared" si="3"/>
        <v>167.9534286326011</v>
      </c>
      <c r="R9" s="80"/>
      <c r="S9" s="168"/>
      <c r="T9" s="168"/>
      <c r="U9" s="169"/>
      <c r="V9" s="170"/>
      <c r="W9" s="12"/>
    </row>
    <row r="10" spans="1:23" ht="12.75">
      <c r="A10" s="964"/>
      <c r="B10" s="101">
        <v>3</v>
      </c>
      <c r="C10" s="16" t="s">
        <v>87</v>
      </c>
      <c r="D10" s="31">
        <v>52</v>
      </c>
      <c r="E10" s="31">
        <v>2009</v>
      </c>
      <c r="F10" s="240">
        <v>38.854</v>
      </c>
      <c r="G10" s="240">
        <v>7.944371</v>
      </c>
      <c r="H10" s="240">
        <v>4.16</v>
      </c>
      <c r="I10" s="240">
        <v>26.749629</v>
      </c>
      <c r="J10" s="163">
        <v>2687.24</v>
      </c>
      <c r="K10" s="122">
        <v>26.749631</v>
      </c>
      <c r="L10" s="163">
        <v>2687.24</v>
      </c>
      <c r="M10" s="122">
        <f t="shared" si="0"/>
        <v>0.009954314091781904</v>
      </c>
      <c r="N10" s="31">
        <v>297.67900000000003</v>
      </c>
      <c r="O10" s="121">
        <f t="shared" si="1"/>
        <v>2.9631902645275456</v>
      </c>
      <c r="P10" s="121">
        <f t="shared" si="2"/>
        <v>597.2588455069142</v>
      </c>
      <c r="Q10" s="123">
        <f t="shared" si="3"/>
        <v>177.79141587165276</v>
      </c>
      <c r="R10" s="80"/>
      <c r="S10" s="80"/>
      <c r="T10" s="80"/>
      <c r="U10" s="14"/>
      <c r="V10" s="12"/>
      <c r="W10" s="12"/>
    </row>
    <row r="11" spans="1:23" ht="12.75">
      <c r="A11" s="964"/>
      <c r="B11" s="101">
        <v>4</v>
      </c>
      <c r="C11" s="16" t="s">
        <v>88</v>
      </c>
      <c r="D11" s="31">
        <v>40</v>
      </c>
      <c r="E11" s="31">
        <v>2007</v>
      </c>
      <c r="F11" s="240">
        <v>34.233</v>
      </c>
      <c r="G11" s="240">
        <v>7.358615</v>
      </c>
      <c r="H11" s="240">
        <v>3.2</v>
      </c>
      <c r="I11" s="240">
        <v>23.674384</v>
      </c>
      <c r="J11" s="163">
        <v>2350.71</v>
      </c>
      <c r="K11" s="122">
        <v>23.674384</v>
      </c>
      <c r="L11" s="163">
        <v>2350.71</v>
      </c>
      <c r="M11" s="122">
        <f t="shared" si="0"/>
        <v>0.010071163180485896</v>
      </c>
      <c r="N11" s="31">
        <v>297.67900000000003</v>
      </c>
      <c r="O11" s="121">
        <f t="shared" si="1"/>
        <v>2.9979737844038614</v>
      </c>
      <c r="P11" s="121">
        <f t="shared" si="2"/>
        <v>604.2697908291537</v>
      </c>
      <c r="Q11" s="123">
        <f t="shared" si="3"/>
        <v>179.8784270642317</v>
      </c>
      <c r="R11" s="80"/>
      <c r="S11" s="80"/>
      <c r="T11" s="80"/>
      <c r="U11" s="14"/>
      <c r="V11" s="12"/>
      <c r="W11" s="12"/>
    </row>
    <row r="12" spans="1:23" ht="12.75">
      <c r="A12" s="964"/>
      <c r="B12" s="101">
        <v>5</v>
      </c>
      <c r="C12" s="211" t="s">
        <v>89</v>
      </c>
      <c r="D12" s="212">
        <v>60</v>
      </c>
      <c r="E12" s="212">
        <v>1965</v>
      </c>
      <c r="F12" s="392">
        <v>47.801</v>
      </c>
      <c r="G12" s="392">
        <v>8.693583</v>
      </c>
      <c r="H12" s="392">
        <v>9.6</v>
      </c>
      <c r="I12" s="392">
        <v>29.507417</v>
      </c>
      <c r="J12" s="396">
        <v>2700.04</v>
      </c>
      <c r="K12" s="402">
        <v>29.507425</v>
      </c>
      <c r="L12" s="396">
        <v>2700.04</v>
      </c>
      <c r="M12" s="402">
        <f t="shared" si="0"/>
        <v>0.01092851402201449</v>
      </c>
      <c r="N12" s="212">
        <v>297.67900000000003</v>
      </c>
      <c r="O12" s="403">
        <f t="shared" si="1"/>
        <v>3.2531891255592513</v>
      </c>
      <c r="P12" s="403">
        <f t="shared" si="2"/>
        <v>655.7108413208693</v>
      </c>
      <c r="Q12" s="404">
        <f t="shared" si="3"/>
        <v>195.1913475335551</v>
      </c>
      <c r="R12" s="80"/>
      <c r="S12" s="80"/>
      <c r="T12" s="80"/>
      <c r="U12" s="14"/>
      <c r="V12" s="12"/>
      <c r="W12" s="12"/>
    </row>
    <row r="13" spans="1:23" ht="12.75">
      <c r="A13" s="964"/>
      <c r="B13" s="101">
        <v>6</v>
      </c>
      <c r="C13" s="16" t="s">
        <v>90</v>
      </c>
      <c r="D13" s="31">
        <v>166</v>
      </c>
      <c r="E13" s="31">
        <v>2007</v>
      </c>
      <c r="F13" s="240">
        <v>168.052</v>
      </c>
      <c r="G13" s="240">
        <v>38.558613</v>
      </c>
      <c r="H13" s="240">
        <v>13.28</v>
      </c>
      <c r="I13" s="240">
        <v>116.21338700000001</v>
      </c>
      <c r="J13" s="163">
        <v>10458.25</v>
      </c>
      <c r="K13" s="122">
        <v>116.213393</v>
      </c>
      <c r="L13" s="163">
        <v>10458.25</v>
      </c>
      <c r="M13" s="122">
        <f t="shared" si="0"/>
        <v>0.011112126120526856</v>
      </c>
      <c r="N13" s="31">
        <v>297.67900000000003</v>
      </c>
      <c r="O13" s="121">
        <f t="shared" si="1"/>
        <v>3.3078465914323143</v>
      </c>
      <c r="P13" s="121">
        <f t="shared" si="2"/>
        <v>666.7275672316113</v>
      </c>
      <c r="Q13" s="123">
        <f t="shared" si="3"/>
        <v>198.47079548593885</v>
      </c>
      <c r="R13" s="80"/>
      <c r="S13" s="80"/>
      <c r="T13" s="80"/>
      <c r="U13" s="14"/>
      <c r="V13" s="12"/>
      <c r="W13" s="12"/>
    </row>
    <row r="14" spans="1:23" ht="12.75">
      <c r="A14" s="964"/>
      <c r="B14" s="101">
        <v>7</v>
      </c>
      <c r="C14" s="16" t="s">
        <v>91</v>
      </c>
      <c r="D14" s="31">
        <v>58</v>
      </c>
      <c r="E14" s="31">
        <v>2007</v>
      </c>
      <c r="F14" s="240">
        <v>58.743</v>
      </c>
      <c r="G14" s="240">
        <v>10.519974</v>
      </c>
      <c r="H14" s="240">
        <v>4.64</v>
      </c>
      <c r="I14" s="240">
        <v>43.583026000000004</v>
      </c>
      <c r="J14" s="163">
        <v>3796.56</v>
      </c>
      <c r="K14" s="122">
        <v>43.583027</v>
      </c>
      <c r="L14" s="163">
        <v>3796.56</v>
      </c>
      <c r="M14" s="122">
        <f t="shared" si="0"/>
        <v>0.011479609699306741</v>
      </c>
      <c r="N14" s="31">
        <v>297.67900000000003</v>
      </c>
      <c r="O14" s="121">
        <f t="shared" si="1"/>
        <v>3.417238735679932</v>
      </c>
      <c r="P14" s="121">
        <f t="shared" si="2"/>
        <v>688.7765819584044</v>
      </c>
      <c r="Q14" s="123">
        <f t="shared" si="3"/>
        <v>205.0343241407959</v>
      </c>
      <c r="R14" s="80"/>
      <c r="S14" s="80"/>
      <c r="T14" s="80"/>
      <c r="U14" s="14"/>
      <c r="V14" s="12"/>
      <c r="W14" s="12"/>
    </row>
    <row r="15" spans="1:23" ht="12.75">
      <c r="A15" s="964"/>
      <c r="B15" s="101">
        <v>8</v>
      </c>
      <c r="C15" s="16" t="s">
        <v>92</v>
      </c>
      <c r="D15" s="31">
        <v>56</v>
      </c>
      <c r="E15" s="31">
        <v>2008</v>
      </c>
      <c r="F15" s="240">
        <v>54.29</v>
      </c>
      <c r="G15" s="240">
        <v>10.31225</v>
      </c>
      <c r="H15" s="240">
        <v>4.48</v>
      </c>
      <c r="I15" s="240">
        <v>39.497749999999996</v>
      </c>
      <c r="J15" s="163">
        <v>3105.9</v>
      </c>
      <c r="K15" s="122">
        <v>39.497754</v>
      </c>
      <c r="L15" s="163">
        <v>3105.9</v>
      </c>
      <c r="M15" s="122">
        <f t="shared" si="0"/>
        <v>0.012717007630638462</v>
      </c>
      <c r="N15" s="31">
        <v>297.67900000000003</v>
      </c>
      <c r="O15" s="121">
        <f t="shared" si="1"/>
        <v>3.7855861144808274</v>
      </c>
      <c r="P15" s="121">
        <f t="shared" si="2"/>
        <v>763.0204578383077</v>
      </c>
      <c r="Q15" s="123">
        <f t="shared" si="3"/>
        <v>227.13516686884964</v>
      </c>
      <c r="R15" s="80"/>
      <c r="S15" s="80"/>
      <c r="T15" s="80"/>
      <c r="U15" s="14"/>
      <c r="V15" s="12"/>
      <c r="W15" s="12"/>
    </row>
    <row r="16" spans="1:23" ht="12.75">
      <c r="A16" s="964"/>
      <c r="B16" s="101">
        <v>9</v>
      </c>
      <c r="C16" s="16" t="s">
        <v>93</v>
      </c>
      <c r="D16" s="31">
        <v>64</v>
      </c>
      <c r="E16" s="31">
        <v>2006</v>
      </c>
      <c r="F16" s="240">
        <v>61.523</v>
      </c>
      <c r="G16" s="240">
        <v>11.808043</v>
      </c>
      <c r="H16" s="240">
        <v>5.12</v>
      </c>
      <c r="I16" s="240">
        <v>44.594957</v>
      </c>
      <c r="J16" s="163">
        <v>3331.47</v>
      </c>
      <c r="K16" s="122">
        <v>44.594957</v>
      </c>
      <c r="L16" s="163">
        <v>3331.47</v>
      </c>
      <c r="M16" s="122">
        <f t="shared" si="0"/>
        <v>0.013385969857150149</v>
      </c>
      <c r="N16" s="31">
        <v>297.67900000000003</v>
      </c>
      <c r="O16" s="121">
        <f t="shared" si="1"/>
        <v>3.9847221211065995</v>
      </c>
      <c r="P16" s="121">
        <f t="shared" si="2"/>
        <v>803.1581914290089</v>
      </c>
      <c r="Q16" s="123">
        <f t="shared" si="3"/>
        <v>239.08332726639597</v>
      </c>
      <c r="R16" s="80"/>
      <c r="S16" s="80"/>
      <c r="T16" s="80"/>
      <c r="U16" s="14"/>
      <c r="V16" s="12"/>
      <c r="W16" s="12"/>
    </row>
    <row r="17" spans="1:23" ht="13.5" thickBot="1">
      <c r="A17" s="965"/>
      <c r="B17" s="102">
        <v>10</v>
      </c>
      <c r="C17" s="366" t="s">
        <v>94</v>
      </c>
      <c r="D17" s="84">
        <v>21</v>
      </c>
      <c r="E17" s="84">
        <v>2005</v>
      </c>
      <c r="F17" s="380">
        <v>31.759</v>
      </c>
      <c r="G17" s="380">
        <v>5.719443</v>
      </c>
      <c r="H17" s="380">
        <v>1.68</v>
      </c>
      <c r="I17" s="380">
        <v>24.359557000000002</v>
      </c>
      <c r="J17" s="384">
        <v>1763.3</v>
      </c>
      <c r="K17" s="385">
        <v>24.359561</v>
      </c>
      <c r="L17" s="384">
        <v>1763.3</v>
      </c>
      <c r="M17" s="385">
        <f t="shared" si="0"/>
        <v>0.013814756989735156</v>
      </c>
      <c r="N17" s="84">
        <v>297.67900000000003</v>
      </c>
      <c r="O17" s="379">
        <f t="shared" si="1"/>
        <v>4.1123630459473715</v>
      </c>
      <c r="P17" s="379">
        <f t="shared" si="2"/>
        <v>828.8854193841094</v>
      </c>
      <c r="Q17" s="381">
        <f t="shared" si="3"/>
        <v>246.74178275684233</v>
      </c>
      <c r="R17" s="80"/>
      <c r="S17" s="80"/>
      <c r="T17" s="80"/>
      <c r="U17" s="14"/>
      <c r="V17" s="12"/>
      <c r="W17" s="12"/>
    </row>
    <row r="18" spans="1:23" ht="12.75" customHeight="1">
      <c r="A18" s="966" t="s">
        <v>46</v>
      </c>
      <c r="B18" s="103">
        <v>1</v>
      </c>
      <c r="C18" s="32" t="s">
        <v>95</v>
      </c>
      <c r="D18" s="33">
        <v>60</v>
      </c>
      <c r="E18" s="33">
        <v>1994</v>
      </c>
      <c r="F18" s="247">
        <v>49.304</v>
      </c>
      <c r="G18" s="247">
        <v>7.300856</v>
      </c>
      <c r="H18" s="247">
        <v>9.52</v>
      </c>
      <c r="I18" s="247">
        <v>32.483143999999996</v>
      </c>
      <c r="J18" s="397">
        <v>2203.49</v>
      </c>
      <c r="K18" s="405">
        <v>32.483138000000004</v>
      </c>
      <c r="L18" s="397">
        <v>2203.49</v>
      </c>
      <c r="M18" s="405">
        <f t="shared" si="0"/>
        <v>0.014741677066834888</v>
      </c>
      <c r="N18" s="33">
        <v>297.67900000000003</v>
      </c>
      <c r="O18" s="249">
        <f t="shared" si="1"/>
        <v>4.388287687578343</v>
      </c>
      <c r="P18" s="249">
        <f t="shared" si="2"/>
        <v>884.5006240100934</v>
      </c>
      <c r="Q18" s="406">
        <f t="shared" si="3"/>
        <v>263.2972612547006</v>
      </c>
      <c r="R18" s="80"/>
      <c r="S18" s="80"/>
      <c r="T18" s="80"/>
      <c r="U18" s="14"/>
      <c r="V18" s="12"/>
      <c r="W18" s="12"/>
    </row>
    <row r="19" spans="1:24" s="7" customFormat="1" ht="12.75">
      <c r="A19" s="926"/>
      <c r="B19" s="104">
        <v>2</v>
      </c>
      <c r="C19" s="34" t="s">
        <v>96</v>
      </c>
      <c r="D19" s="35">
        <v>42</v>
      </c>
      <c r="E19" s="35">
        <v>2000</v>
      </c>
      <c r="F19" s="248">
        <v>59.4</v>
      </c>
      <c r="G19" s="248">
        <v>6.634848</v>
      </c>
      <c r="H19" s="248">
        <v>6.64</v>
      </c>
      <c r="I19" s="248">
        <v>46.125152</v>
      </c>
      <c r="J19" s="110">
        <v>2801.5899999999997</v>
      </c>
      <c r="K19" s="128">
        <v>45.427577</v>
      </c>
      <c r="L19" s="110">
        <v>2759.22</v>
      </c>
      <c r="M19" s="128">
        <f t="shared" si="0"/>
        <v>0.01646391987590696</v>
      </c>
      <c r="N19" s="35">
        <v>296.48</v>
      </c>
      <c r="O19" s="127">
        <f t="shared" si="1"/>
        <v>4.881222964808895</v>
      </c>
      <c r="P19" s="127">
        <f t="shared" si="2"/>
        <v>987.8351925544175</v>
      </c>
      <c r="Q19" s="155">
        <f t="shared" si="3"/>
        <v>292.87337788853375</v>
      </c>
      <c r="R19" s="80"/>
      <c r="S19" s="80"/>
      <c r="T19" s="80"/>
      <c r="U19" s="14"/>
      <c r="V19" s="12"/>
      <c r="W19" s="12"/>
      <c r="X19" s="1"/>
    </row>
    <row r="20" spans="1:24" ht="12.75">
      <c r="A20" s="926"/>
      <c r="B20" s="104">
        <v>3</v>
      </c>
      <c r="C20" s="34" t="s">
        <v>97</v>
      </c>
      <c r="D20" s="35">
        <v>59</v>
      </c>
      <c r="E20" s="35">
        <v>2001</v>
      </c>
      <c r="F20" s="248">
        <v>75.736</v>
      </c>
      <c r="G20" s="248">
        <v>8.594168</v>
      </c>
      <c r="H20" s="248">
        <v>9.12</v>
      </c>
      <c r="I20" s="248">
        <v>58.021832</v>
      </c>
      <c r="J20" s="110">
        <v>3432.18</v>
      </c>
      <c r="K20" s="128">
        <v>58.021829000000004</v>
      </c>
      <c r="L20" s="110">
        <v>3432.18</v>
      </c>
      <c r="M20" s="128">
        <f t="shared" si="0"/>
        <v>0.016905240692504476</v>
      </c>
      <c r="N20" s="35">
        <v>296.48</v>
      </c>
      <c r="O20" s="127">
        <f t="shared" si="1"/>
        <v>5.012065760513727</v>
      </c>
      <c r="P20" s="127">
        <f t="shared" si="2"/>
        <v>1014.3144415502685</v>
      </c>
      <c r="Q20" s="155">
        <f t="shared" si="3"/>
        <v>300.7239456308236</v>
      </c>
      <c r="R20" s="80"/>
      <c r="S20" s="80"/>
      <c r="T20" s="80"/>
      <c r="U20" s="14"/>
      <c r="V20" s="13"/>
      <c r="W20" s="13"/>
      <c r="X20" s="8"/>
    </row>
    <row r="21" spans="1:23" ht="12.75">
      <c r="A21" s="926"/>
      <c r="B21" s="104">
        <v>4</v>
      </c>
      <c r="C21" s="34" t="s">
        <v>98</v>
      </c>
      <c r="D21" s="35">
        <v>71</v>
      </c>
      <c r="E21" s="35">
        <v>2006</v>
      </c>
      <c r="F21" s="248">
        <v>81</v>
      </c>
      <c r="G21" s="248">
        <v>15.0756</v>
      </c>
      <c r="H21" s="248">
        <v>5.68</v>
      </c>
      <c r="I21" s="248">
        <v>60.244400000000006</v>
      </c>
      <c r="J21" s="110">
        <v>3533.18</v>
      </c>
      <c r="K21" s="128">
        <v>60.244398000000004</v>
      </c>
      <c r="L21" s="110">
        <v>3533.18</v>
      </c>
      <c r="M21" s="128">
        <f t="shared" si="0"/>
        <v>0.017051041271602355</v>
      </c>
      <c r="N21" s="35">
        <v>296.48</v>
      </c>
      <c r="O21" s="127">
        <f t="shared" si="1"/>
        <v>5.055292716204667</v>
      </c>
      <c r="P21" s="127">
        <f t="shared" si="2"/>
        <v>1023.0624762961413</v>
      </c>
      <c r="Q21" s="155">
        <f t="shared" si="3"/>
        <v>303.31756297228003</v>
      </c>
      <c r="R21" s="80"/>
      <c r="S21" s="80"/>
      <c r="T21" s="80"/>
      <c r="U21" s="14"/>
      <c r="V21" s="12"/>
      <c r="W21" s="12"/>
    </row>
    <row r="22" spans="1:24" ht="12.75">
      <c r="A22" s="926"/>
      <c r="B22" s="104">
        <v>5</v>
      </c>
      <c r="C22" s="34" t="s">
        <v>99</v>
      </c>
      <c r="D22" s="35">
        <v>40</v>
      </c>
      <c r="E22" s="35">
        <v>1996</v>
      </c>
      <c r="F22" s="248">
        <v>63.437</v>
      </c>
      <c r="G22" s="248">
        <v>6.913984</v>
      </c>
      <c r="H22" s="248">
        <v>7.19516</v>
      </c>
      <c r="I22" s="248">
        <v>49.327856</v>
      </c>
      <c r="J22" s="110">
        <v>2861.83</v>
      </c>
      <c r="K22" s="128">
        <v>49.327857</v>
      </c>
      <c r="L22" s="110">
        <v>2861.83</v>
      </c>
      <c r="M22" s="128">
        <f t="shared" si="0"/>
        <v>0.017236473515198317</v>
      </c>
      <c r="N22" s="35">
        <v>296.48</v>
      </c>
      <c r="O22" s="127">
        <f t="shared" si="1"/>
        <v>5.110269667785997</v>
      </c>
      <c r="P22" s="127">
        <f t="shared" si="2"/>
        <v>1034.1884109118992</v>
      </c>
      <c r="Q22" s="155">
        <f t="shared" si="3"/>
        <v>306.61618006715986</v>
      </c>
      <c r="R22" s="80"/>
      <c r="S22" s="80"/>
      <c r="T22" s="80"/>
      <c r="U22" s="14"/>
      <c r="V22" s="12"/>
      <c r="W22" s="12"/>
      <c r="X22" s="7"/>
    </row>
    <row r="23" spans="1:24" ht="12.75">
      <c r="A23" s="926"/>
      <c r="B23" s="104">
        <v>6</v>
      </c>
      <c r="C23" s="34" t="s">
        <v>100</v>
      </c>
      <c r="D23" s="35">
        <v>50</v>
      </c>
      <c r="E23" s="35">
        <v>2000</v>
      </c>
      <c r="F23" s="248">
        <v>61.645</v>
      </c>
      <c r="G23" s="248">
        <v>6.221512</v>
      </c>
      <c r="H23" s="248">
        <v>8</v>
      </c>
      <c r="I23" s="248">
        <v>47.423488</v>
      </c>
      <c r="J23" s="110">
        <v>2639.49</v>
      </c>
      <c r="K23" s="128">
        <v>47.423485</v>
      </c>
      <c r="L23" s="110">
        <v>2639.49</v>
      </c>
      <c r="M23" s="128">
        <f t="shared" si="0"/>
        <v>0.01796691216863864</v>
      </c>
      <c r="N23" s="35">
        <v>296.48</v>
      </c>
      <c r="O23" s="127">
        <f t="shared" si="1"/>
        <v>5.326830119757984</v>
      </c>
      <c r="P23" s="127">
        <f t="shared" si="2"/>
        <v>1078.0147301183183</v>
      </c>
      <c r="Q23" s="155">
        <f t="shared" si="3"/>
        <v>319.60980718547904</v>
      </c>
      <c r="R23" s="80"/>
      <c r="S23" s="80"/>
      <c r="T23" s="80"/>
      <c r="U23" s="14"/>
      <c r="V23" s="13"/>
      <c r="W23" s="13"/>
      <c r="X23" s="8"/>
    </row>
    <row r="24" spans="1:23" ht="12.75">
      <c r="A24" s="926"/>
      <c r="B24" s="104">
        <v>7</v>
      </c>
      <c r="C24" s="34" t="s">
        <v>101</v>
      </c>
      <c r="D24" s="35">
        <v>40</v>
      </c>
      <c r="E24" s="35">
        <v>1995</v>
      </c>
      <c r="F24" s="248">
        <v>64.367</v>
      </c>
      <c r="G24" s="248">
        <v>8.528947</v>
      </c>
      <c r="H24" s="248">
        <v>6.4</v>
      </c>
      <c r="I24" s="248">
        <v>49.438053</v>
      </c>
      <c r="J24" s="110">
        <v>2737.48</v>
      </c>
      <c r="K24" s="128">
        <v>49.438054</v>
      </c>
      <c r="L24" s="110">
        <v>2737.48</v>
      </c>
      <c r="M24" s="128">
        <f t="shared" si="0"/>
        <v>0.01805969504800035</v>
      </c>
      <c r="N24" s="35">
        <v>297.67900000000003</v>
      </c>
      <c r="O24" s="127">
        <f t="shared" si="1"/>
        <v>5.375991962193697</v>
      </c>
      <c r="P24" s="127">
        <f t="shared" si="2"/>
        <v>1083.5817028800209</v>
      </c>
      <c r="Q24" s="155">
        <f t="shared" si="3"/>
        <v>322.5595177316217</v>
      </c>
      <c r="R24" s="80"/>
      <c r="S24" s="80"/>
      <c r="T24" s="80"/>
      <c r="U24" s="14"/>
      <c r="V24" s="12"/>
      <c r="W24" s="12"/>
    </row>
    <row r="25" spans="1:24" s="8" customFormat="1" ht="12.75">
      <c r="A25" s="926"/>
      <c r="B25" s="104">
        <v>8</v>
      </c>
      <c r="C25" s="34" t="s">
        <v>102</v>
      </c>
      <c r="D25" s="35">
        <v>28</v>
      </c>
      <c r="E25" s="35">
        <v>1999</v>
      </c>
      <c r="F25" s="248">
        <v>53.912</v>
      </c>
      <c r="G25" s="248">
        <v>7.854</v>
      </c>
      <c r="H25" s="248">
        <v>3.92</v>
      </c>
      <c r="I25" s="248">
        <v>42.138</v>
      </c>
      <c r="J25" s="110">
        <v>2196.98</v>
      </c>
      <c r="K25" s="128">
        <v>42.138</v>
      </c>
      <c r="L25" s="110">
        <v>2196.98</v>
      </c>
      <c r="M25" s="128">
        <f t="shared" si="0"/>
        <v>0.01917996522499067</v>
      </c>
      <c r="N25" s="35">
        <v>296.48</v>
      </c>
      <c r="O25" s="127">
        <f t="shared" si="1"/>
        <v>5.686476089905234</v>
      </c>
      <c r="P25" s="127">
        <f t="shared" si="2"/>
        <v>1150.7979134994403</v>
      </c>
      <c r="Q25" s="155">
        <f t="shared" si="3"/>
        <v>341.1885653943141</v>
      </c>
      <c r="R25" s="80"/>
      <c r="S25" s="80"/>
      <c r="T25" s="80"/>
      <c r="U25" s="14"/>
      <c r="V25" s="12"/>
      <c r="W25" s="12"/>
      <c r="X25" s="1"/>
    </row>
    <row r="26" spans="1:24" s="8" customFormat="1" ht="12.75">
      <c r="A26" s="926"/>
      <c r="B26" s="104">
        <v>9</v>
      </c>
      <c r="C26" s="34" t="s">
        <v>103</v>
      </c>
      <c r="D26" s="35">
        <v>28</v>
      </c>
      <c r="E26" s="35">
        <v>2000</v>
      </c>
      <c r="F26" s="248">
        <v>40.183</v>
      </c>
      <c r="G26" s="248">
        <v>5.083711</v>
      </c>
      <c r="H26" s="248">
        <v>4.4</v>
      </c>
      <c r="I26" s="248">
        <v>30.699289</v>
      </c>
      <c r="J26" s="110">
        <v>1548.2</v>
      </c>
      <c r="K26" s="128">
        <v>30.69929</v>
      </c>
      <c r="L26" s="110">
        <v>1548.2</v>
      </c>
      <c r="M26" s="128">
        <f t="shared" si="0"/>
        <v>0.019829020798346468</v>
      </c>
      <c r="N26" s="35">
        <v>296.48</v>
      </c>
      <c r="O26" s="127">
        <f t="shared" si="1"/>
        <v>5.8789080862937615</v>
      </c>
      <c r="P26" s="127">
        <f t="shared" si="2"/>
        <v>1189.741247900788</v>
      </c>
      <c r="Q26" s="155">
        <f t="shared" si="3"/>
        <v>352.7344851776257</v>
      </c>
      <c r="R26" s="80"/>
      <c r="S26" s="80"/>
      <c r="T26" s="80"/>
      <c r="U26" s="14"/>
      <c r="V26" s="12"/>
      <c r="W26" s="12"/>
      <c r="X26" s="1"/>
    </row>
    <row r="27" spans="1:23" ht="13.5" customHeight="1" thickBot="1">
      <c r="A27" s="927"/>
      <c r="B27" s="105">
        <v>10</v>
      </c>
      <c r="C27" s="641" t="s">
        <v>104</v>
      </c>
      <c r="D27" s="61">
        <v>39</v>
      </c>
      <c r="E27" s="61">
        <v>1999</v>
      </c>
      <c r="F27" s="642">
        <v>58.937</v>
      </c>
      <c r="G27" s="642">
        <v>6.1302</v>
      </c>
      <c r="H27" s="642">
        <v>6.24</v>
      </c>
      <c r="I27" s="642">
        <v>46.5668</v>
      </c>
      <c r="J27" s="398">
        <v>2296.95</v>
      </c>
      <c r="K27" s="644">
        <v>46.566801</v>
      </c>
      <c r="L27" s="398">
        <v>2296.95</v>
      </c>
      <c r="M27" s="644">
        <f t="shared" si="0"/>
        <v>0.02027331940181545</v>
      </c>
      <c r="N27" s="61">
        <v>296.48</v>
      </c>
      <c r="O27" s="407">
        <f t="shared" si="1"/>
        <v>6.010633736250245</v>
      </c>
      <c r="P27" s="407">
        <f t="shared" si="2"/>
        <v>1216.3991641089272</v>
      </c>
      <c r="Q27" s="408">
        <f t="shared" si="3"/>
        <v>360.6380241750148</v>
      </c>
      <c r="R27" s="80"/>
      <c r="S27" s="80"/>
      <c r="T27" s="80"/>
      <c r="U27" s="14"/>
      <c r="V27" s="12"/>
      <c r="W27" s="12"/>
    </row>
    <row r="28" spans="1:23" ht="12.75" customHeight="1">
      <c r="A28" s="967" t="s">
        <v>47</v>
      </c>
      <c r="B28" s="253">
        <v>1</v>
      </c>
      <c r="C28" s="254" t="s">
        <v>105</v>
      </c>
      <c r="D28" s="218">
        <v>60</v>
      </c>
      <c r="E28" s="218">
        <v>1985</v>
      </c>
      <c r="F28" s="389">
        <v>102.115</v>
      </c>
      <c r="G28" s="389">
        <v>10.197268</v>
      </c>
      <c r="H28" s="389">
        <v>9.6</v>
      </c>
      <c r="I28" s="389">
        <v>82.317732</v>
      </c>
      <c r="J28" s="399">
        <v>3189.58</v>
      </c>
      <c r="K28" s="409">
        <v>82.317736</v>
      </c>
      <c r="L28" s="399">
        <v>3189.58</v>
      </c>
      <c r="M28" s="409">
        <f t="shared" si="0"/>
        <v>0.025808330877419596</v>
      </c>
      <c r="N28" s="218">
        <v>297.67900000000003</v>
      </c>
      <c r="O28" s="390">
        <f t="shared" si="1"/>
        <v>7.682598127259388</v>
      </c>
      <c r="P28" s="390">
        <f t="shared" si="2"/>
        <v>1548.499852645176</v>
      </c>
      <c r="Q28" s="410">
        <f t="shared" si="3"/>
        <v>460.9558876355634</v>
      </c>
      <c r="R28" s="80"/>
      <c r="S28" s="80"/>
      <c r="T28" s="80"/>
      <c r="U28" s="14"/>
      <c r="V28" s="12"/>
      <c r="W28" s="12"/>
    </row>
    <row r="29" spans="1:24" s="7" customFormat="1" ht="12.75">
      <c r="A29" s="918"/>
      <c r="B29" s="255">
        <v>2</v>
      </c>
      <c r="C29" s="256" t="s">
        <v>106</v>
      </c>
      <c r="D29" s="219">
        <v>60</v>
      </c>
      <c r="E29" s="219">
        <v>1981</v>
      </c>
      <c r="F29" s="270">
        <v>102.394</v>
      </c>
      <c r="G29" s="270">
        <v>7.687191</v>
      </c>
      <c r="H29" s="270">
        <v>9.6</v>
      </c>
      <c r="I29" s="270">
        <v>85.106809</v>
      </c>
      <c r="J29" s="261">
        <v>3285.91</v>
      </c>
      <c r="K29" s="272">
        <v>85.106799</v>
      </c>
      <c r="L29" s="261">
        <v>3285.91</v>
      </c>
      <c r="M29" s="272">
        <f t="shared" si="0"/>
        <v>0.025900526490378616</v>
      </c>
      <c r="N29" s="219">
        <v>297.67900000000003</v>
      </c>
      <c r="O29" s="271">
        <f t="shared" si="1"/>
        <v>7.710042825129417</v>
      </c>
      <c r="P29" s="271">
        <f t="shared" si="2"/>
        <v>1554.031589422717</v>
      </c>
      <c r="Q29" s="273">
        <f t="shared" si="3"/>
        <v>462.602569507765</v>
      </c>
      <c r="R29" s="80"/>
      <c r="S29" s="80"/>
      <c r="T29" s="80"/>
      <c r="U29" s="14"/>
      <c r="V29" s="12"/>
      <c r="W29" s="12"/>
      <c r="X29" s="1"/>
    </row>
    <row r="30" spans="1:24" ht="12.75">
      <c r="A30" s="918"/>
      <c r="B30" s="255">
        <v>3</v>
      </c>
      <c r="C30" s="256" t="s">
        <v>107</v>
      </c>
      <c r="D30" s="219">
        <v>145</v>
      </c>
      <c r="E30" s="219">
        <v>1980</v>
      </c>
      <c r="F30" s="270">
        <v>274.154</v>
      </c>
      <c r="G30" s="270">
        <v>21.375</v>
      </c>
      <c r="H30" s="270">
        <v>34.32</v>
      </c>
      <c r="I30" s="270">
        <v>218.459</v>
      </c>
      <c r="J30" s="261">
        <v>8328.31</v>
      </c>
      <c r="K30" s="272">
        <v>218.458989</v>
      </c>
      <c r="L30" s="261">
        <v>8328.31</v>
      </c>
      <c r="M30" s="272">
        <f t="shared" si="0"/>
        <v>0.026230890660890387</v>
      </c>
      <c r="N30" s="219">
        <v>297.67900000000003</v>
      </c>
      <c r="O30" s="271">
        <f t="shared" si="1"/>
        <v>7.808385301043191</v>
      </c>
      <c r="P30" s="271">
        <f t="shared" si="2"/>
        <v>1573.8534396534233</v>
      </c>
      <c r="Q30" s="273">
        <f t="shared" si="3"/>
        <v>468.5031180625914</v>
      </c>
      <c r="R30" s="80"/>
      <c r="S30" s="80"/>
      <c r="T30" s="80"/>
      <c r="U30" s="14"/>
      <c r="V30" s="12"/>
      <c r="W30" s="12"/>
      <c r="X30" s="7"/>
    </row>
    <row r="31" spans="1:23" s="7" customFormat="1" ht="12.75">
      <c r="A31" s="918"/>
      <c r="B31" s="255">
        <v>4</v>
      </c>
      <c r="C31" s="256" t="s">
        <v>108</v>
      </c>
      <c r="D31" s="219">
        <v>22</v>
      </c>
      <c r="E31" s="219">
        <v>1989</v>
      </c>
      <c r="F31" s="270">
        <v>37.258</v>
      </c>
      <c r="G31" s="270">
        <v>2.297504</v>
      </c>
      <c r="H31" s="270">
        <v>3.52</v>
      </c>
      <c r="I31" s="270">
        <v>31.440496</v>
      </c>
      <c r="J31" s="261">
        <v>1179.64</v>
      </c>
      <c r="K31" s="272">
        <v>31.440495</v>
      </c>
      <c r="L31" s="261">
        <v>1179.64</v>
      </c>
      <c r="M31" s="272">
        <f t="shared" si="0"/>
        <v>0.02665261859550371</v>
      </c>
      <c r="N31" s="219">
        <v>297.67900000000003</v>
      </c>
      <c r="O31" s="271">
        <f t="shared" si="1"/>
        <v>7.933924850890949</v>
      </c>
      <c r="P31" s="271">
        <f t="shared" si="2"/>
        <v>1599.1571157302224</v>
      </c>
      <c r="Q31" s="273">
        <f t="shared" si="3"/>
        <v>476.0354910534569</v>
      </c>
      <c r="R31" s="80"/>
      <c r="S31" s="80"/>
      <c r="T31" s="80"/>
      <c r="U31" s="14"/>
      <c r="V31" s="12"/>
      <c r="W31" s="12"/>
    </row>
    <row r="32" spans="1:23" ht="12.75">
      <c r="A32" s="918"/>
      <c r="B32" s="255">
        <v>5</v>
      </c>
      <c r="C32" s="256" t="s">
        <v>109</v>
      </c>
      <c r="D32" s="219">
        <v>40</v>
      </c>
      <c r="E32" s="219">
        <v>1985</v>
      </c>
      <c r="F32" s="270">
        <v>70.314</v>
      </c>
      <c r="G32" s="270">
        <v>5.78971</v>
      </c>
      <c r="H32" s="270">
        <v>6.4</v>
      </c>
      <c r="I32" s="270">
        <v>58.12429</v>
      </c>
      <c r="J32" s="261">
        <v>2161.15</v>
      </c>
      <c r="K32" s="272">
        <v>58.124295</v>
      </c>
      <c r="L32" s="261">
        <v>2161.15</v>
      </c>
      <c r="M32" s="272">
        <f t="shared" si="0"/>
        <v>0.026895076695277974</v>
      </c>
      <c r="N32" s="219">
        <v>297.67900000000003</v>
      </c>
      <c r="O32" s="271">
        <f t="shared" si="1"/>
        <v>8.006099535573654</v>
      </c>
      <c r="P32" s="271">
        <f t="shared" si="2"/>
        <v>1613.7046017166786</v>
      </c>
      <c r="Q32" s="273">
        <f t="shared" si="3"/>
        <v>480.36597213441917</v>
      </c>
      <c r="R32" s="80"/>
      <c r="S32" s="80"/>
      <c r="T32" s="80"/>
      <c r="U32" s="14"/>
      <c r="V32" s="12"/>
      <c r="W32" s="12"/>
    </row>
    <row r="33" spans="1:23" ht="12.75">
      <c r="A33" s="918"/>
      <c r="B33" s="255">
        <v>6</v>
      </c>
      <c r="C33" s="256" t="s">
        <v>110</v>
      </c>
      <c r="D33" s="219">
        <v>72</v>
      </c>
      <c r="E33" s="219">
        <v>1980</v>
      </c>
      <c r="F33" s="270">
        <v>142.442</v>
      </c>
      <c r="G33" s="270">
        <v>11.689249</v>
      </c>
      <c r="H33" s="270">
        <v>17.28</v>
      </c>
      <c r="I33" s="270">
        <v>113.472751</v>
      </c>
      <c r="J33" s="261">
        <v>4129.55</v>
      </c>
      <c r="K33" s="272">
        <v>113.472754</v>
      </c>
      <c r="L33" s="261">
        <v>4129.55</v>
      </c>
      <c r="M33" s="272">
        <f t="shared" si="0"/>
        <v>0.027478237096051624</v>
      </c>
      <c r="N33" s="219">
        <v>297.67900000000003</v>
      </c>
      <c r="O33" s="271">
        <f t="shared" si="1"/>
        <v>8.179694140515553</v>
      </c>
      <c r="P33" s="271">
        <f t="shared" si="2"/>
        <v>1648.6942257630974</v>
      </c>
      <c r="Q33" s="273">
        <f t="shared" si="3"/>
        <v>490.7816484309331</v>
      </c>
      <c r="R33" s="80"/>
      <c r="S33" s="80"/>
      <c r="T33" s="80"/>
      <c r="U33" s="14"/>
      <c r="V33" s="12"/>
      <c r="W33" s="12"/>
    </row>
    <row r="34" spans="1:24" s="7" customFormat="1" ht="12.75">
      <c r="A34" s="918"/>
      <c r="B34" s="255">
        <v>7</v>
      </c>
      <c r="C34" s="256" t="s">
        <v>111</v>
      </c>
      <c r="D34" s="219">
        <v>49</v>
      </c>
      <c r="E34" s="219">
        <v>1986</v>
      </c>
      <c r="F34" s="270">
        <v>95.92</v>
      </c>
      <c r="G34" s="270">
        <v>6.811356</v>
      </c>
      <c r="H34" s="270">
        <v>10.24</v>
      </c>
      <c r="I34" s="270">
        <v>78.868644</v>
      </c>
      <c r="J34" s="261">
        <v>2820.68</v>
      </c>
      <c r="K34" s="272">
        <v>78.868647</v>
      </c>
      <c r="L34" s="261">
        <v>2820.68</v>
      </c>
      <c r="M34" s="272">
        <f t="shared" si="0"/>
        <v>0.027960862983394074</v>
      </c>
      <c r="N34" s="219">
        <v>297.67900000000003</v>
      </c>
      <c r="O34" s="271">
        <f t="shared" si="1"/>
        <v>8.323361732033765</v>
      </c>
      <c r="P34" s="271">
        <f t="shared" si="2"/>
        <v>1677.6517790036444</v>
      </c>
      <c r="Q34" s="273">
        <f t="shared" si="3"/>
        <v>499.40170392202594</v>
      </c>
      <c r="R34" s="80"/>
      <c r="S34" s="80"/>
      <c r="T34" s="80"/>
      <c r="U34" s="14"/>
      <c r="V34" s="12"/>
      <c r="W34" s="12"/>
      <c r="X34" s="1"/>
    </row>
    <row r="35" spans="1:24" ht="12.75">
      <c r="A35" s="918"/>
      <c r="B35" s="255">
        <v>8</v>
      </c>
      <c r="C35" s="256" t="s">
        <v>112</v>
      </c>
      <c r="D35" s="219">
        <v>38</v>
      </c>
      <c r="E35" s="219" t="s">
        <v>113</v>
      </c>
      <c r="F35" s="270">
        <v>76.129</v>
      </c>
      <c r="G35" s="270">
        <v>4.348671</v>
      </c>
      <c r="H35" s="270">
        <v>6</v>
      </c>
      <c r="I35" s="270">
        <v>65.78033</v>
      </c>
      <c r="J35" s="261">
        <v>2277.52</v>
      </c>
      <c r="K35" s="272">
        <v>65.780327</v>
      </c>
      <c r="L35" s="261">
        <v>2277.52</v>
      </c>
      <c r="M35" s="272">
        <f t="shared" si="0"/>
        <v>0.028882436597702763</v>
      </c>
      <c r="N35" s="219">
        <v>297.67900000000003</v>
      </c>
      <c r="O35" s="271">
        <f t="shared" si="1"/>
        <v>8.597694843967561</v>
      </c>
      <c r="P35" s="271">
        <f t="shared" si="2"/>
        <v>1732.9461958621657</v>
      </c>
      <c r="Q35" s="273">
        <f t="shared" si="3"/>
        <v>515.8616906380537</v>
      </c>
      <c r="R35" s="80"/>
      <c r="S35" s="80"/>
      <c r="T35" s="80"/>
      <c r="U35" s="14"/>
      <c r="V35" s="12"/>
      <c r="W35" s="12"/>
      <c r="X35" s="7"/>
    </row>
    <row r="36" spans="1:23" s="7" customFormat="1" ht="12.75">
      <c r="A36" s="918"/>
      <c r="B36" s="255">
        <v>9</v>
      </c>
      <c r="C36" s="256" t="s">
        <v>114</v>
      </c>
      <c r="D36" s="219">
        <v>37</v>
      </c>
      <c r="E36" s="219">
        <v>1987</v>
      </c>
      <c r="F36" s="270">
        <v>75.283</v>
      </c>
      <c r="G36" s="270">
        <v>4.956811</v>
      </c>
      <c r="H36" s="270">
        <v>8.64</v>
      </c>
      <c r="I36" s="270">
        <v>61.686189</v>
      </c>
      <c r="J36" s="261">
        <v>2115.27</v>
      </c>
      <c r="K36" s="272">
        <v>61.686189</v>
      </c>
      <c r="L36" s="261">
        <v>2115.27</v>
      </c>
      <c r="M36" s="272">
        <f t="shared" si="0"/>
        <v>0.029162323958643578</v>
      </c>
      <c r="N36" s="219">
        <v>297.67900000000003</v>
      </c>
      <c r="O36" s="271">
        <f t="shared" si="1"/>
        <v>8.681011433685063</v>
      </c>
      <c r="P36" s="271">
        <f t="shared" si="2"/>
        <v>1749.7394375186145</v>
      </c>
      <c r="Q36" s="273">
        <f t="shared" si="3"/>
        <v>520.8606860211037</v>
      </c>
      <c r="R36" s="80"/>
      <c r="S36" s="80"/>
      <c r="T36" s="80"/>
      <c r="U36" s="14"/>
      <c r="V36" s="12"/>
      <c r="W36" s="12"/>
    </row>
    <row r="37" spans="1:23" ht="13.5" thickBot="1">
      <c r="A37" s="919"/>
      <c r="B37" s="257">
        <v>10</v>
      </c>
      <c r="C37" s="281" t="s">
        <v>115</v>
      </c>
      <c r="D37" s="231">
        <v>44</v>
      </c>
      <c r="E37" s="231" t="s">
        <v>113</v>
      </c>
      <c r="F37" s="393">
        <v>87.841</v>
      </c>
      <c r="G37" s="393">
        <v>6.33424</v>
      </c>
      <c r="H37" s="393">
        <v>7.04</v>
      </c>
      <c r="I37" s="393">
        <v>74.46676</v>
      </c>
      <c r="J37" s="400">
        <v>2337.92</v>
      </c>
      <c r="K37" s="411">
        <v>74.466756</v>
      </c>
      <c r="L37" s="400">
        <v>2337.92</v>
      </c>
      <c r="M37" s="411">
        <f t="shared" si="0"/>
        <v>0.031851712633451955</v>
      </c>
      <c r="N37" s="231">
        <v>297.67900000000003</v>
      </c>
      <c r="O37" s="412">
        <f t="shared" si="1"/>
        <v>9.481585965013345</v>
      </c>
      <c r="P37" s="412">
        <f t="shared" si="2"/>
        <v>1911.1027580071175</v>
      </c>
      <c r="Q37" s="413">
        <f t="shared" si="3"/>
        <v>568.8951579008008</v>
      </c>
      <c r="R37" s="80"/>
      <c r="S37" s="80"/>
      <c r="T37" s="80"/>
      <c r="U37" s="14"/>
      <c r="V37" s="12"/>
      <c r="W37" s="12"/>
    </row>
    <row r="38" spans="1:23" s="7" customFormat="1" ht="12.75" customHeight="1">
      <c r="A38" s="975" t="s">
        <v>52</v>
      </c>
      <c r="B38" s="106">
        <v>1</v>
      </c>
      <c r="C38" s="259" t="s">
        <v>116</v>
      </c>
      <c r="D38" s="38">
        <v>40</v>
      </c>
      <c r="E38" s="38">
        <v>1960</v>
      </c>
      <c r="F38" s="394">
        <v>56.402</v>
      </c>
      <c r="G38" s="394">
        <v>5.110712</v>
      </c>
      <c r="H38" s="394">
        <v>0.4</v>
      </c>
      <c r="I38" s="394">
        <v>50.891288</v>
      </c>
      <c r="J38" s="334">
        <v>1514.97</v>
      </c>
      <c r="K38" s="414">
        <v>49.139787</v>
      </c>
      <c r="L38" s="334">
        <v>1462.83</v>
      </c>
      <c r="M38" s="414">
        <f t="shared" si="0"/>
        <v>0.03359227456368819</v>
      </c>
      <c r="N38" s="38">
        <v>297.67900000000003</v>
      </c>
      <c r="O38" s="415">
        <f t="shared" si="1"/>
        <v>9.999714699844139</v>
      </c>
      <c r="P38" s="415">
        <f t="shared" si="2"/>
        <v>2015.5364738212916</v>
      </c>
      <c r="Q38" s="416">
        <f t="shared" si="3"/>
        <v>599.9828819906484</v>
      </c>
      <c r="R38" s="80"/>
      <c r="S38" s="80"/>
      <c r="T38" s="80"/>
      <c r="U38" s="14"/>
      <c r="V38" s="12"/>
      <c r="W38" s="12"/>
    </row>
    <row r="39" spans="1:24" s="7" customFormat="1" ht="12.75">
      <c r="A39" s="968"/>
      <c r="B39" s="40">
        <v>2</v>
      </c>
      <c r="C39" s="45" t="s">
        <v>117</v>
      </c>
      <c r="D39" s="40">
        <v>24</v>
      </c>
      <c r="E39" s="40">
        <v>1961</v>
      </c>
      <c r="F39" s="295">
        <v>33.753</v>
      </c>
      <c r="G39" s="295">
        <v>2.767311</v>
      </c>
      <c r="H39" s="295">
        <v>0</v>
      </c>
      <c r="I39" s="295">
        <v>30.985689</v>
      </c>
      <c r="J39" s="297">
        <v>911.79</v>
      </c>
      <c r="K39" s="289">
        <v>30.98569</v>
      </c>
      <c r="L39" s="297">
        <v>911.79</v>
      </c>
      <c r="M39" s="289">
        <f t="shared" si="0"/>
        <v>0.03398336239704318</v>
      </c>
      <c r="N39" s="40">
        <v>297.67900000000003</v>
      </c>
      <c r="O39" s="290">
        <f t="shared" si="1"/>
        <v>10.116133334989417</v>
      </c>
      <c r="P39" s="290">
        <f t="shared" si="2"/>
        <v>2039.001743822591</v>
      </c>
      <c r="Q39" s="291">
        <f t="shared" si="3"/>
        <v>606.9680000993651</v>
      </c>
      <c r="R39" s="80"/>
      <c r="S39" s="80"/>
      <c r="T39" s="80"/>
      <c r="U39" s="14"/>
      <c r="V39" s="12"/>
      <c r="W39" s="12"/>
      <c r="X39" s="1"/>
    </row>
    <row r="40" spans="1:23" ht="12.75">
      <c r="A40" s="968"/>
      <c r="B40" s="107">
        <v>3</v>
      </c>
      <c r="C40" s="45" t="s">
        <v>118</v>
      </c>
      <c r="D40" s="40">
        <v>108</v>
      </c>
      <c r="E40" s="40">
        <v>1970</v>
      </c>
      <c r="F40" s="295">
        <v>117.389</v>
      </c>
      <c r="G40" s="295">
        <v>10.695901</v>
      </c>
      <c r="H40" s="295">
        <v>17.13</v>
      </c>
      <c r="I40" s="295">
        <v>89.563099</v>
      </c>
      <c r="J40" s="297">
        <v>2605.82</v>
      </c>
      <c r="K40" s="289">
        <v>89.563095</v>
      </c>
      <c r="L40" s="297">
        <v>2605.82</v>
      </c>
      <c r="M40" s="289">
        <f t="shared" si="0"/>
        <v>0.03437040739575258</v>
      </c>
      <c r="N40" s="40">
        <v>297.67900000000003</v>
      </c>
      <c r="O40" s="290">
        <f t="shared" si="1"/>
        <v>10.231348503160234</v>
      </c>
      <c r="P40" s="290">
        <f t="shared" si="2"/>
        <v>2062.224443745155</v>
      </c>
      <c r="Q40" s="291">
        <f t="shared" si="3"/>
        <v>613.880910189614</v>
      </c>
      <c r="R40" s="80"/>
      <c r="S40" s="80"/>
      <c r="T40" s="80"/>
      <c r="U40" s="14"/>
      <c r="V40" s="12"/>
      <c r="W40" s="12"/>
    </row>
    <row r="41" spans="1:23" ht="12.75">
      <c r="A41" s="968"/>
      <c r="B41" s="107">
        <v>4</v>
      </c>
      <c r="C41" s="45" t="s">
        <v>119</v>
      </c>
      <c r="D41" s="40">
        <v>108</v>
      </c>
      <c r="E41" s="40">
        <v>1971</v>
      </c>
      <c r="F41" s="295">
        <v>117.527</v>
      </c>
      <c r="G41" s="295">
        <v>8.835728</v>
      </c>
      <c r="H41" s="295">
        <v>17.28</v>
      </c>
      <c r="I41" s="295">
        <v>91.411272</v>
      </c>
      <c r="J41" s="297">
        <v>2657.8</v>
      </c>
      <c r="K41" s="289">
        <v>89.265111</v>
      </c>
      <c r="L41" s="297">
        <v>2595.4</v>
      </c>
      <c r="M41" s="289">
        <f t="shared" si="0"/>
        <v>0.034393585189180856</v>
      </c>
      <c r="N41" s="40">
        <v>297.67900000000003</v>
      </c>
      <c r="O41" s="290">
        <f t="shared" si="1"/>
        <v>10.238248045530169</v>
      </c>
      <c r="P41" s="290">
        <f t="shared" si="2"/>
        <v>2063.6151113508513</v>
      </c>
      <c r="Q41" s="291">
        <f t="shared" si="3"/>
        <v>614.29488273181</v>
      </c>
      <c r="R41" s="80"/>
      <c r="S41" s="80"/>
      <c r="T41" s="80"/>
      <c r="U41" s="14"/>
      <c r="V41" s="12"/>
      <c r="W41" s="12"/>
    </row>
    <row r="42" spans="1:23" ht="12.75">
      <c r="A42" s="968"/>
      <c r="B42" s="107">
        <v>5</v>
      </c>
      <c r="C42" s="45" t="s">
        <v>120</v>
      </c>
      <c r="D42" s="40">
        <v>13</v>
      </c>
      <c r="E42" s="40">
        <v>1961</v>
      </c>
      <c r="F42" s="295">
        <v>23.487</v>
      </c>
      <c r="G42" s="295">
        <v>1.079075</v>
      </c>
      <c r="H42" s="295">
        <v>0.13</v>
      </c>
      <c r="I42" s="295">
        <v>22.277925</v>
      </c>
      <c r="J42" s="297">
        <v>591.36</v>
      </c>
      <c r="K42" s="289">
        <v>18.701311</v>
      </c>
      <c r="L42" s="297">
        <v>496.42</v>
      </c>
      <c r="M42" s="289">
        <f t="shared" si="0"/>
        <v>0.03767235606945731</v>
      </c>
      <c r="N42" s="40">
        <v>297.67900000000003</v>
      </c>
      <c r="O42" s="290">
        <f t="shared" si="1"/>
        <v>11.214269282399984</v>
      </c>
      <c r="P42" s="290">
        <f t="shared" si="2"/>
        <v>2260.3413641674388</v>
      </c>
      <c r="Q42" s="291">
        <f t="shared" si="3"/>
        <v>672.8561569439992</v>
      </c>
      <c r="R42" s="80"/>
      <c r="S42" s="80"/>
      <c r="T42" s="80"/>
      <c r="U42" s="14"/>
      <c r="V42" s="12"/>
      <c r="W42" s="12"/>
    </row>
    <row r="43" spans="1:23" ht="12.75">
      <c r="A43" s="968"/>
      <c r="B43" s="40">
        <v>6</v>
      </c>
      <c r="C43" s="45" t="s">
        <v>121</v>
      </c>
      <c r="D43" s="132">
        <v>35</v>
      </c>
      <c r="E43" s="132">
        <v>1965</v>
      </c>
      <c r="F43" s="295">
        <v>34.486</v>
      </c>
      <c r="G43" s="295">
        <v>7.350924</v>
      </c>
      <c r="H43" s="295">
        <v>0.826</v>
      </c>
      <c r="I43" s="295">
        <v>26.309076</v>
      </c>
      <c r="J43" s="297">
        <v>687.58</v>
      </c>
      <c r="K43" s="289">
        <v>26.309076</v>
      </c>
      <c r="L43" s="297">
        <v>687.58</v>
      </c>
      <c r="M43" s="289">
        <f t="shared" si="0"/>
        <v>0.038263294453009106</v>
      </c>
      <c r="N43" s="40">
        <v>297.67900000000003</v>
      </c>
      <c r="O43" s="290">
        <f t="shared" si="1"/>
        <v>11.3901792294773</v>
      </c>
      <c r="P43" s="290">
        <f t="shared" si="2"/>
        <v>2295.7976671805463</v>
      </c>
      <c r="Q43" s="291">
        <f t="shared" si="3"/>
        <v>683.4107537686378</v>
      </c>
      <c r="R43" s="80"/>
      <c r="S43" s="80"/>
      <c r="T43" s="80"/>
      <c r="U43" s="14"/>
      <c r="V43" s="12"/>
      <c r="W43" s="12"/>
    </row>
    <row r="44" spans="1:24" ht="12.75">
      <c r="A44" s="968"/>
      <c r="B44" s="107">
        <v>7</v>
      </c>
      <c r="C44" s="45" t="s">
        <v>122</v>
      </c>
      <c r="D44" s="40">
        <v>11</v>
      </c>
      <c r="E44" s="40">
        <v>1910</v>
      </c>
      <c r="F44" s="295">
        <v>21.88</v>
      </c>
      <c r="G44" s="295">
        <v>1.011975</v>
      </c>
      <c r="H44" s="295">
        <v>0</v>
      </c>
      <c r="I44" s="295">
        <v>20.868025</v>
      </c>
      <c r="J44" s="297">
        <v>542.57</v>
      </c>
      <c r="K44" s="289">
        <v>17.333034</v>
      </c>
      <c r="L44" s="297">
        <v>450.66</v>
      </c>
      <c r="M44" s="289">
        <f t="shared" si="0"/>
        <v>0.03846144321661563</v>
      </c>
      <c r="N44" s="40">
        <v>297.67900000000003</v>
      </c>
      <c r="O44" s="290">
        <f t="shared" si="1"/>
        <v>11.449163955278927</v>
      </c>
      <c r="P44" s="290">
        <f t="shared" si="2"/>
        <v>2307.686592996938</v>
      </c>
      <c r="Q44" s="291">
        <f t="shared" si="3"/>
        <v>686.9498373167356</v>
      </c>
      <c r="R44" s="80"/>
      <c r="S44" s="80"/>
      <c r="T44" s="80"/>
      <c r="U44" s="14"/>
      <c r="V44" s="12"/>
      <c r="W44" s="12"/>
      <c r="X44" s="7"/>
    </row>
    <row r="45" spans="1:23" ht="12.75">
      <c r="A45" s="968"/>
      <c r="B45" s="107">
        <v>8</v>
      </c>
      <c r="C45" s="45" t="s">
        <v>123</v>
      </c>
      <c r="D45" s="40">
        <v>6</v>
      </c>
      <c r="E45" s="40">
        <v>1958</v>
      </c>
      <c r="F45" s="295">
        <v>14.503</v>
      </c>
      <c r="G45" s="295">
        <v>0.5368</v>
      </c>
      <c r="H45" s="295">
        <v>0.06</v>
      </c>
      <c r="I45" s="295">
        <v>13.9062</v>
      </c>
      <c r="J45" s="297">
        <v>310.34</v>
      </c>
      <c r="K45" s="289">
        <v>13.9062</v>
      </c>
      <c r="L45" s="297">
        <v>310.34</v>
      </c>
      <c r="M45" s="289">
        <f t="shared" si="0"/>
        <v>0.04480956370432429</v>
      </c>
      <c r="N45" s="40">
        <v>297.67900000000003</v>
      </c>
      <c r="O45" s="290">
        <f t="shared" si="1"/>
        <v>13.338866113939552</v>
      </c>
      <c r="P45" s="290">
        <f t="shared" si="2"/>
        <v>2688.5738222594573</v>
      </c>
      <c r="Q45" s="291">
        <f t="shared" si="3"/>
        <v>800.3319668363731</v>
      </c>
      <c r="R45" s="80"/>
      <c r="S45" s="80"/>
      <c r="T45" s="80"/>
      <c r="U45" s="14"/>
      <c r="V45" s="12"/>
      <c r="W45" s="12"/>
    </row>
    <row r="46" spans="1:23" s="7" customFormat="1" ht="12.75">
      <c r="A46" s="968"/>
      <c r="B46" s="107">
        <v>9</v>
      </c>
      <c r="C46" s="45" t="s">
        <v>124</v>
      </c>
      <c r="D46" s="40">
        <v>4</v>
      </c>
      <c r="E46" s="40">
        <v>1963</v>
      </c>
      <c r="F46" s="295">
        <v>8.602</v>
      </c>
      <c r="G46" s="295">
        <v>0.37576</v>
      </c>
      <c r="H46" s="295">
        <v>0.04</v>
      </c>
      <c r="I46" s="295">
        <v>8.18624</v>
      </c>
      <c r="J46" s="297">
        <v>150.99</v>
      </c>
      <c r="K46" s="289">
        <v>8.18624</v>
      </c>
      <c r="L46" s="297">
        <v>150.99</v>
      </c>
      <c r="M46" s="289">
        <f t="shared" si="0"/>
        <v>0.05421710047022981</v>
      </c>
      <c r="N46" s="40">
        <v>297.67900000000003</v>
      </c>
      <c r="O46" s="290">
        <f t="shared" si="1"/>
        <v>16.139292250877542</v>
      </c>
      <c r="P46" s="290">
        <f t="shared" si="2"/>
        <v>3253.026028213789</v>
      </c>
      <c r="Q46" s="291">
        <f t="shared" si="3"/>
        <v>968.3575350526525</v>
      </c>
      <c r="R46" s="80"/>
      <c r="S46" s="80"/>
      <c r="T46" s="80"/>
      <c r="U46" s="14"/>
      <c r="V46" s="12"/>
      <c r="W46" s="12"/>
    </row>
    <row r="47" spans="1:23" ht="12.75">
      <c r="A47" s="968"/>
      <c r="B47" s="40">
        <v>10</v>
      </c>
      <c r="C47" s="45" t="s">
        <v>125</v>
      </c>
      <c r="D47" s="40">
        <v>7</v>
      </c>
      <c r="E47" s="40" t="s">
        <v>113</v>
      </c>
      <c r="F47" s="295">
        <v>20.557</v>
      </c>
      <c r="G47" s="295">
        <v>0.59048</v>
      </c>
      <c r="H47" s="295">
        <v>0</v>
      </c>
      <c r="I47" s="295">
        <v>19.96652</v>
      </c>
      <c r="J47" s="297">
        <v>355.81</v>
      </c>
      <c r="K47" s="289">
        <v>17.898097</v>
      </c>
      <c r="L47" s="297">
        <v>318.95</v>
      </c>
      <c r="M47" s="289">
        <f t="shared" si="0"/>
        <v>0.056115682708888545</v>
      </c>
      <c r="N47" s="40">
        <v>297.67900000000003</v>
      </c>
      <c r="O47" s="290">
        <f t="shared" si="1"/>
        <v>16.704460313099236</v>
      </c>
      <c r="P47" s="290">
        <f t="shared" si="2"/>
        <v>3366.940962533313</v>
      </c>
      <c r="Q47" s="291">
        <f t="shared" si="3"/>
        <v>1002.267618785954</v>
      </c>
      <c r="R47" s="80"/>
      <c r="S47" s="80"/>
      <c r="T47" s="80"/>
      <c r="U47" s="14"/>
      <c r="V47" s="12"/>
      <c r="W47" s="12"/>
    </row>
    <row r="48" spans="1:20" ht="13.5" customHeight="1" thickBot="1">
      <c r="A48" s="969"/>
      <c r="B48" s="42">
        <v>11</v>
      </c>
      <c r="C48" s="46" t="s">
        <v>126</v>
      </c>
      <c r="D48" s="42">
        <v>4</v>
      </c>
      <c r="E48" s="42">
        <v>1963</v>
      </c>
      <c r="F48" s="296">
        <v>9.033</v>
      </c>
      <c r="G48" s="296">
        <v>0.37576</v>
      </c>
      <c r="H48" s="296">
        <v>0</v>
      </c>
      <c r="I48" s="296">
        <v>8.65724</v>
      </c>
      <c r="J48" s="333">
        <v>148.04</v>
      </c>
      <c r="K48" s="286">
        <v>8.65724</v>
      </c>
      <c r="L48" s="333">
        <v>148.04</v>
      </c>
      <c r="M48" s="286">
        <f t="shared" si="0"/>
        <v>0.05847905971359092</v>
      </c>
      <c r="N48" s="42">
        <v>296.48</v>
      </c>
      <c r="O48" s="287">
        <f t="shared" si="1"/>
        <v>17.337871623885437</v>
      </c>
      <c r="P48" s="287">
        <f t="shared" si="2"/>
        <v>3508.7435828154553</v>
      </c>
      <c r="Q48" s="288">
        <f t="shared" si="3"/>
        <v>1040.2722974331261</v>
      </c>
      <c r="S48" s="80"/>
      <c r="T48" s="80"/>
    </row>
    <row r="49" spans="1:20" ht="15">
      <c r="A49" s="974" t="s">
        <v>35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S49" s="80"/>
      <c r="T49" s="80"/>
    </row>
    <row r="50" spans="1:20" ht="13.5" thickBot="1">
      <c r="A50" s="894" t="s">
        <v>127</v>
      </c>
      <c r="B50" s="894"/>
      <c r="C50" s="894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S50" s="80"/>
      <c r="T50" s="80"/>
    </row>
    <row r="51" spans="1:20" ht="12.75" customHeight="1">
      <c r="A51" s="885" t="s">
        <v>1</v>
      </c>
      <c r="B51" s="908" t="s">
        <v>0</v>
      </c>
      <c r="C51" s="880" t="s">
        <v>2</v>
      </c>
      <c r="D51" s="880" t="s">
        <v>3</v>
      </c>
      <c r="E51" s="880" t="s">
        <v>13</v>
      </c>
      <c r="F51" s="911" t="s">
        <v>14</v>
      </c>
      <c r="G51" s="912"/>
      <c r="H51" s="912"/>
      <c r="I51" s="913"/>
      <c r="J51" s="880" t="s">
        <v>4</v>
      </c>
      <c r="K51" s="880" t="s">
        <v>15</v>
      </c>
      <c r="L51" s="880" t="s">
        <v>5</v>
      </c>
      <c r="M51" s="880" t="s">
        <v>6</v>
      </c>
      <c r="N51" s="880" t="s">
        <v>16</v>
      </c>
      <c r="O51" s="880" t="s">
        <v>17</v>
      </c>
      <c r="P51" s="880" t="s">
        <v>25</v>
      </c>
      <c r="Q51" s="985" t="s">
        <v>26</v>
      </c>
      <c r="S51" s="80"/>
      <c r="T51" s="80"/>
    </row>
    <row r="52" spans="1:20" ht="55.5" customHeight="1" thickBot="1">
      <c r="A52" s="887"/>
      <c r="B52" s="910"/>
      <c r="C52" s="889"/>
      <c r="D52" s="889"/>
      <c r="E52" s="889"/>
      <c r="F52" s="20" t="s">
        <v>18</v>
      </c>
      <c r="G52" s="21" t="s">
        <v>19</v>
      </c>
      <c r="H52" s="21" t="s">
        <v>32</v>
      </c>
      <c r="I52" s="20" t="s">
        <v>21</v>
      </c>
      <c r="J52" s="889"/>
      <c r="K52" s="889"/>
      <c r="L52" s="889"/>
      <c r="M52" s="889"/>
      <c r="N52" s="889"/>
      <c r="O52" s="889"/>
      <c r="P52" s="889"/>
      <c r="Q52" s="986"/>
      <c r="S52" s="80"/>
      <c r="T52" s="80"/>
    </row>
    <row r="53" spans="1:20" ht="13.5" customHeight="1" thickBot="1">
      <c r="A53" s="199"/>
      <c r="B53" s="200"/>
      <c r="C53" s="201"/>
      <c r="D53" s="196" t="s">
        <v>7</v>
      </c>
      <c r="E53" s="196" t="s">
        <v>8</v>
      </c>
      <c r="F53" s="196" t="s">
        <v>9</v>
      </c>
      <c r="G53" s="196" t="s">
        <v>9</v>
      </c>
      <c r="H53" s="196" t="s">
        <v>9</v>
      </c>
      <c r="I53" s="196" t="s">
        <v>9</v>
      </c>
      <c r="J53" s="196" t="s">
        <v>22</v>
      </c>
      <c r="K53" s="196" t="s">
        <v>9</v>
      </c>
      <c r="L53" s="196" t="s">
        <v>22</v>
      </c>
      <c r="M53" s="196" t="s">
        <v>69</v>
      </c>
      <c r="N53" s="197" t="s">
        <v>10</v>
      </c>
      <c r="O53" s="196" t="s">
        <v>70</v>
      </c>
      <c r="P53" s="197" t="s">
        <v>27</v>
      </c>
      <c r="Q53" s="198" t="s">
        <v>28</v>
      </c>
      <c r="S53" s="80"/>
      <c r="T53" s="80"/>
    </row>
    <row r="54" spans="1:20" ht="12.75">
      <c r="A54" s="878" t="s">
        <v>51</v>
      </c>
      <c r="B54" s="30">
        <v>1</v>
      </c>
      <c r="C54" s="860" t="s">
        <v>128</v>
      </c>
      <c r="D54" s="30">
        <v>64</v>
      </c>
      <c r="E54" s="30" t="s">
        <v>113</v>
      </c>
      <c r="F54" s="378">
        <v>37.69</v>
      </c>
      <c r="G54" s="378">
        <v>7.52</v>
      </c>
      <c r="H54" s="635">
        <v>10.98</v>
      </c>
      <c r="I54" s="378">
        <v>19.19</v>
      </c>
      <c r="J54" s="395">
        <v>2419.35</v>
      </c>
      <c r="K54" s="401">
        <f aca="true" t="shared" si="4" ref="K54:K93">I54/J54*L54</f>
        <v>19.18722384111435</v>
      </c>
      <c r="L54" s="30">
        <v>2419</v>
      </c>
      <c r="M54" s="401">
        <f aca="true" t="shared" si="5" ref="M54:M93">K54/L54</f>
        <v>0.007931882530431728</v>
      </c>
      <c r="N54" s="246">
        <v>316.7540000000001</v>
      </c>
      <c r="O54" s="583">
        <f aca="true" t="shared" si="6" ref="O54:O93">M54*N54</f>
        <v>2.512455519044372</v>
      </c>
      <c r="P54" s="246">
        <f aca="true" t="shared" si="7" ref="P54:P93">M54*60*1000</f>
        <v>475.91295182590363</v>
      </c>
      <c r="Q54" s="239">
        <f aca="true" t="shared" si="8" ref="Q54:Q93">P54*N54/1000</f>
        <v>150.74733114266232</v>
      </c>
      <c r="S54" s="80"/>
      <c r="T54" s="80"/>
    </row>
    <row r="55" spans="1:20" ht="12.75">
      <c r="A55" s="878"/>
      <c r="B55" s="31">
        <v>2</v>
      </c>
      <c r="C55" s="861" t="s">
        <v>129</v>
      </c>
      <c r="D55" s="31">
        <v>86</v>
      </c>
      <c r="E55" s="31">
        <v>2006</v>
      </c>
      <c r="F55" s="240">
        <v>63.1</v>
      </c>
      <c r="G55" s="240">
        <v>12.71</v>
      </c>
      <c r="H55" s="636">
        <v>4.38</v>
      </c>
      <c r="I55" s="240">
        <f>F55-G55-H55</f>
        <v>46.01</v>
      </c>
      <c r="J55" s="163">
        <v>5059</v>
      </c>
      <c r="K55" s="122">
        <f t="shared" si="4"/>
        <v>46.01</v>
      </c>
      <c r="L55" s="31">
        <v>5059</v>
      </c>
      <c r="M55" s="122">
        <f t="shared" si="5"/>
        <v>0.009094682743625222</v>
      </c>
      <c r="N55" s="121">
        <v>316.7540000000001</v>
      </c>
      <c r="O55" s="238">
        <f t="shared" si="6"/>
        <v>2.880777137774264</v>
      </c>
      <c r="P55" s="121">
        <f t="shared" si="7"/>
        <v>545.6809646175134</v>
      </c>
      <c r="Q55" s="123">
        <f t="shared" si="8"/>
        <v>172.84662826645587</v>
      </c>
      <c r="S55" s="80"/>
      <c r="T55" s="80"/>
    </row>
    <row r="56" spans="1:20" ht="12.75">
      <c r="A56" s="878"/>
      <c r="B56" s="31">
        <v>3</v>
      </c>
      <c r="C56" s="861" t="s">
        <v>130</v>
      </c>
      <c r="D56" s="31">
        <v>60</v>
      </c>
      <c r="E56" s="31">
        <v>2005</v>
      </c>
      <c r="F56" s="240">
        <v>68.32</v>
      </c>
      <c r="G56" s="240">
        <v>10.6</v>
      </c>
      <c r="H56" s="636">
        <v>4.96</v>
      </c>
      <c r="I56" s="240">
        <f>F56-G56-H56</f>
        <v>52.75999999999999</v>
      </c>
      <c r="J56" s="163">
        <v>4933</v>
      </c>
      <c r="K56" s="122">
        <f t="shared" si="4"/>
        <v>51.19848368132981</v>
      </c>
      <c r="L56" s="31">
        <v>4787</v>
      </c>
      <c r="M56" s="122">
        <f t="shared" si="5"/>
        <v>0.010695317251165617</v>
      </c>
      <c r="N56" s="121">
        <v>316.7540000000001</v>
      </c>
      <c r="O56" s="238">
        <f t="shared" si="6"/>
        <v>3.387784520575715</v>
      </c>
      <c r="P56" s="121">
        <f t="shared" si="7"/>
        <v>641.719035069937</v>
      </c>
      <c r="Q56" s="123">
        <f t="shared" si="8"/>
        <v>203.26707123454287</v>
      </c>
      <c r="S56" s="80"/>
      <c r="T56" s="80"/>
    </row>
    <row r="57" spans="1:20" ht="12.75">
      <c r="A57" s="878"/>
      <c r="B57" s="31">
        <v>4</v>
      </c>
      <c r="C57" s="861" t="s">
        <v>131</v>
      </c>
      <c r="D57" s="31">
        <v>60</v>
      </c>
      <c r="E57" s="31">
        <v>1965</v>
      </c>
      <c r="F57" s="240">
        <v>48.56</v>
      </c>
      <c r="G57" s="240">
        <v>7.24</v>
      </c>
      <c r="H57" s="636">
        <v>9.52</v>
      </c>
      <c r="I57" s="240">
        <f>F57-G57-H57</f>
        <v>31.8</v>
      </c>
      <c r="J57" s="163">
        <v>2708.9</v>
      </c>
      <c r="K57" s="122">
        <f t="shared" si="4"/>
        <v>31.8</v>
      </c>
      <c r="L57" s="163">
        <v>2708.9</v>
      </c>
      <c r="M57" s="122">
        <f t="shared" si="5"/>
        <v>0.01173908228432205</v>
      </c>
      <c r="N57" s="121">
        <v>316.7540000000001</v>
      </c>
      <c r="O57" s="238">
        <f t="shared" si="6"/>
        <v>3.7184012698881475</v>
      </c>
      <c r="P57" s="121">
        <f t="shared" si="7"/>
        <v>704.344937059323</v>
      </c>
      <c r="Q57" s="123">
        <f t="shared" si="8"/>
        <v>223.10407619328885</v>
      </c>
      <c r="S57" s="80"/>
      <c r="T57" s="80"/>
    </row>
    <row r="58" spans="1:20" ht="12.75">
      <c r="A58" s="878"/>
      <c r="B58" s="31">
        <v>5</v>
      </c>
      <c r="C58" s="861" t="s">
        <v>132</v>
      </c>
      <c r="D58" s="31">
        <v>51</v>
      </c>
      <c r="E58" s="31">
        <v>2005</v>
      </c>
      <c r="F58" s="240">
        <v>49.96</v>
      </c>
      <c r="G58" s="240">
        <v>6.94</v>
      </c>
      <c r="H58" s="636">
        <v>4.87</v>
      </c>
      <c r="I58" s="240">
        <f>F58-G58-H58</f>
        <v>38.150000000000006</v>
      </c>
      <c r="J58" s="163">
        <v>3073.9</v>
      </c>
      <c r="K58" s="122">
        <f t="shared" si="4"/>
        <v>37.257653144214196</v>
      </c>
      <c r="L58" s="637">
        <v>3002</v>
      </c>
      <c r="M58" s="122">
        <f t="shared" si="5"/>
        <v>0.012410943752236574</v>
      </c>
      <c r="N58" s="121">
        <v>316.7540000000001</v>
      </c>
      <c r="O58" s="238">
        <f t="shared" si="6"/>
        <v>3.931216077295945</v>
      </c>
      <c r="P58" s="121">
        <f t="shared" si="7"/>
        <v>744.6566251341944</v>
      </c>
      <c r="Q58" s="123">
        <f t="shared" si="8"/>
        <v>235.87296463775667</v>
      </c>
      <c r="S58" s="80"/>
      <c r="T58" s="80"/>
    </row>
    <row r="59" spans="1:20" s="88" customFormat="1" ht="12.75" customHeight="1">
      <c r="A59" s="878"/>
      <c r="B59" s="87">
        <v>6</v>
      </c>
      <c r="C59" s="861" t="s">
        <v>133</v>
      </c>
      <c r="D59" s="31">
        <v>60</v>
      </c>
      <c r="E59" s="31">
        <v>1968</v>
      </c>
      <c r="F59" s="240">
        <v>46.72</v>
      </c>
      <c r="G59" s="240">
        <v>6.88</v>
      </c>
      <c r="H59" s="636">
        <f>F59-I59-G59</f>
        <v>5.8</v>
      </c>
      <c r="I59" s="240">
        <v>34.04</v>
      </c>
      <c r="J59" s="163">
        <v>2715.4</v>
      </c>
      <c r="K59" s="122">
        <f t="shared" si="4"/>
        <v>34.03498563747514</v>
      </c>
      <c r="L59" s="31">
        <v>2715</v>
      </c>
      <c r="M59" s="122">
        <f t="shared" si="5"/>
        <v>0.01253590631214554</v>
      </c>
      <c r="N59" s="121">
        <v>316.7540000000001</v>
      </c>
      <c r="O59" s="238">
        <f t="shared" si="6"/>
        <v>3.970798467997349</v>
      </c>
      <c r="P59" s="121">
        <f t="shared" si="7"/>
        <v>752.1543787287324</v>
      </c>
      <c r="Q59" s="123">
        <f t="shared" si="8"/>
        <v>238.24790807984095</v>
      </c>
      <c r="S59" s="80"/>
      <c r="T59" s="80"/>
    </row>
    <row r="60" spans="1:20" ht="12.75">
      <c r="A60" s="878"/>
      <c r="B60" s="31">
        <v>7</v>
      </c>
      <c r="C60" s="861" t="s">
        <v>134</v>
      </c>
      <c r="D60" s="31">
        <v>100</v>
      </c>
      <c r="E60" s="31">
        <v>1972</v>
      </c>
      <c r="F60" s="240">
        <v>81.71</v>
      </c>
      <c r="G60" s="240">
        <v>11.95</v>
      </c>
      <c r="H60" s="636">
        <f>F60-I60-G60</f>
        <v>13.149999999999995</v>
      </c>
      <c r="I60" s="240">
        <v>56.61</v>
      </c>
      <c r="J60" s="163">
        <v>4426.6</v>
      </c>
      <c r="K60" s="122">
        <f t="shared" si="4"/>
        <v>56.61511543848552</v>
      </c>
      <c r="L60" s="31">
        <v>4427</v>
      </c>
      <c r="M60" s="122">
        <f t="shared" si="5"/>
        <v>0.0127885962137984</v>
      </c>
      <c r="N60" s="121">
        <v>316.7540000000001</v>
      </c>
      <c r="O60" s="238">
        <f t="shared" si="6"/>
        <v>4.050839005105499</v>
      </c>
      <c r="P60" s="121">
        <f t="shared" si="7"/>
        <v>767.315772827904</v>
      </c>
      <c r="Q60" s="123">
        <f t="shared" si="8"/>
        <v>243.05034030632996</v>
      </c>
      <c r="S60" s="80"/>
      <c r="T60" s="80"/>
    </row>
    <row r="61" spans="1:20" ht="12.75">
      <c r="A61" s="878"/>
      <c r="B61" s="31">
        <v>8</v>
      </c>
      <c r="C61" s="861" t="s">
        <v>135</v>
      </c>
      <c r="D61" s="31">
        <v>39</v>
      </c>
      <c r="E61" s="31">
        <v>2007</v>
      </c>
      <c r="F61" s="240">
        <v>40.45</v>
      </c>
      <c r="G61" s="240">
        <v>6.78</v>
      </c>
      <c r="H61" s="636">
        <v>2.98</v>
      </c>
      <c r="I61" s="240">
        <f>F61-G61-H61</f>
        <v>30.69</v>
      </c>
      <c r="J61" s="163">
        <v>2368.8</v>
      </c>
      <c r="K61" s="122">
        <f t="shared" si="4"/>
        <v>30.692591185410333</v>
      </c>
      <c r="L61" s="31">
        <v>2369</v>
      </c>
      <c r="M61" s="122">
        <f t="shared" si="5"/>
        <v>0.012955927051671732</v>
      </c>
      <c r="N61" s="121">
        <v>316.7540000000001</v>
      </c>
      <c r="O61" s="238">
        <f t="shared" si="6"/>
        <v>4.103841717325229</v>
      </c>
      <c r="P61" s="121">
        <f t="shared" si="7"/>
        <v>777.3556231003039</v>
      </c>
      <c r="Q61" s="123">
        <f t="shared" si="8"/>
        <v>246.2305030395137</v>
      </c>
      <c r="S61" s="80"/>
      <c r="T61" s="80"/>
    </row>
    <row r="62" spans="1:20" ht="12.75">
      <c r="A62" s="878"/>
      <c r="B62" s="84">
        <v>9</v>
      </c>
      <c r="C62" s="861" t="s">
        <v>136</v>
      </c>
      <c r="D62" s="31">
        <v>118</v>
      </c>
      <c r="E62" s="31">
        <v>2007</v>
      </c>
      <c r="F62" s="240">
        <v>140.41</v>
      </c>
      <c r="G62" s="240">
        <v>19.94</v>
      </c>
      <c r="H62" s="636">
        <v>19.55</v>
      </c>
      <c r="I62" s="240">
        <f>F62-G62-H62</f>
        <v>100.92</v>
      </c>
      <c r="J62" s="163">
        <v>7738</v>
      </c>
      <c r="K62" s="122">
        <f t="shared" si="4"/>
        <v>91.08623416903593</v>
      </c>
      <c r="L62" s="31">
        <v>6984</v>
      </c>
      <c r="M62" s="122">
        <f t="shared" si="5"/>
        <v>0.013042129749289222</v>
      </c>
      <c r="N62" s="121">
        <v>316.7540000000001</v>
      </c>
      <c r="O62" s="238">
        <f t="shared" si="6"/>
        <v>4.131146766606359</v>
      </c>
      <c r="P62" s="121">
        <f t="shared" si="7"/>
        <v>782.5277849573533</v>
      </c>
      <c r="Q62" s="123">
        <f t="shared" si="8"/>
        <v>247.86880599638155</v>
      </c>
      <c r="S62" s="80"/>
      <c r="T62" s="80"/>
    </row>
    <row r="63" spans="1:20" ht="12.75" customHeight="1" thickBot="1">
      <c r="A63" s="879"/>
      <c r="B63" s="57">
        <v>10</v>
      </c>
      <c r="C63" s="862" t="s">
        <v>137</v>
      </c>
      <c r="D63" s="57">
        <v>38</v>
      </c>
      <c r="E63" s="57">
        <v>2004</v>
      </c>
      <c r="F63" s="203">
        <v>37.17</v>
      </c>
      <c r="G63" s="203">
        <v>5.3</v>
      </c>
      <c r="H63" s="638">
        <v>0.65</v>
      </c>
      <c r="I63" s="203">
        <f>F63-G63-H63</f>
        <v>31.220000000000002</v>
      </c>
      <c r="J63" s="311">
        <v>2372</v>
      </c>
      <c r="K63" s="125">
        <f t="shared" si="4"/>
        <v>31.22</v>
      </c>
      <c r="L63" s="57">
        <v>2372</v>
      </c>
      <c r="M63" s="125">
        <f t="shared" si="5"/>
        <v>0.013161888701517707</v>
      </c>
      <c r="N63" s="124">
        <v>316.7540000000001</v>
      </c>
      <c r="O63" s="584">
        <f t="shared" si="6"/>
        <v>4.16908089376054</v>
      </c>
      <c r="P63" s="124">
        <f t="shared" si="7"/>
        <v>789.7133220910624</v>
      </c>
      <c r="Q63" s="126">
        <f t="shared" si="8"/>
        <v>250.14485362563244</v>
      </c>
      <c r="S63" s="80"/>
      <c r="T63" s="80"/>
    </row>
    <row r="64" spans="1:20" ht="14.25" customHeight="1">
      <c r="A64" s="987" t="s">
        <v>73</v>
      </c>
      <c r="B64" s="60">
        <v>1</v>
      </c>
      <c r="C64" s="81" t="s">
        <v>138</v>
      </c>
      <c r="D64" s="60">
        <v>18</v>
      </c>
      <c r="E64" s="60">
        <v>2006</v>
      </c>
      <c r="F64" s="252">
        <v>31.9</v>
      </c>
      <c r="G64" s="252">
        <v>3.04</v>
      </c>
      <c r="H64" s="639">
        <v>2.54</v>
      </c>
      <c r="I64" s="252">
        <f>F64-G64-H64</f>
        <v>26.32</v>
      </c>
      <c r="J64" s="113">
        <v>1988.3</v>
      </c>
      <c r="K64" s="136">
        <f t="shared" si="4"/>
        <v>20.0414826736408</v>
      </c>
      <c r="L64" s="60">
        <v>1514</v>
      </c>
      <c r="M64" s="136">
        <f t="shared" si="5"/>
        <v>0.013237439018256804</v>
      </c>
      <c r="N64" s="137">
        <v>316.7540000000001</v>
      </c>
      <c r="O64" s="417">
        <f t="shared" si="6"/>
        <v>4.193011758788916</v>
      </c>
      <c r="P64" s="137">
        <f t="shared" si="7"/>
        <v>794.2463410954083</v>
      </c>
      <c r="Q64" s="157">
        <f t="shared" si="8"/>
        <v>251.58070552733503</v>
      </c>
      <c r="S64" s="80"/>
      <c r="T64" s="80"/>
    </row>
    <row r="65" spans="1:20" ht="12.75">
      <c r="A65" s="988"/>
      <c r="B65" s="35">
        <v>2</v>
      </c>
      <c r="C65" s="34" t="s">
        <v>139</v>
      </c>
      <c r="D65" s="35">
        <v>61</v>
      </c>
      <c r="E65" s="35">
        <v>1973</v>
      </c>
      <c r="F65" s="248">
        <v>48.99</v>
      </c>
      <c r="G65" s="248">
        <v>6.93</v>
      </c>
      <c r="H65" s="640">
        <f>F65-I65-G65</f>
        <v>6.420000000000002</v>
      </c>
      <c r="I65" s="248">
        <v>35.64</v>
      </c>
      <c r="J65" s="110">
        <v>2678.3</v>
      </c>
      <c r="K65" s="128">
        <f t="shared" si="4"/>
        <v>35.63600791546877</v>
      </c>
      <c r="L65" s="35">
        <v>2678</v>
      </c>
      <c r="M65" s="128">
        <f t="shared" si="5"/>
        <v>0.01330694843744166</v>
      </c>
      <c r="N65" s="127">
        <v>316.7540000000001</v>
      </c>
      <c r="O65" s="417">
        <f t="shared" si="6"/>
        <v>4.215029145353396</v>
      </c>
      <c r="P65" s="127">
        <f t="shared" si="7"/>
        <v>798.4169062464996</v>
      </c>
      <c r="Q65" s="155">
        <f t="shared" si="8"/>
        <v>252.9017487212038</v>
      </c>
      <c r="S65" s="80"/>
      <c r="T65" s="80"/>
    </row>
    <row r="66" spans="1:20" ht="12.75">
      <c r="A66" s="988"/>
      <c r="B66" s="35">
        <v>3</v>
      </c>
      <c r="C66" s="34" t="s">
        <v>140</v>
      </c>
      <c r="D66" s="35">
        <v>72</v>
      </c>
      <c r="E66" s="35">
        <v>2005</v>
      </c>
      <c r="F66" s="248">
        <v>96.41</v>
      </c>
      <c r="G66" s="248">
        <v>15.72</v>
      </c>
      <c r="H66" s="640">
        <f>F66-I66-G66</f>
        <v>4.39999999999999</v>
      </c>
      <c r="I66" s="248">
        <v>76.29</v>
      </c>
      <c r="J66" s="110">
        <v>5350</v>
      </c>
      <c r="K66" s="128">
        <f t="shared" si="4"/>
        <v>76.29</v>
      </c>
      <c r="L66" s="35">
        <v>5350</v>
      </c>
      <c r="M66" s="128">
        <f t="shared" si="5"/>
        <v>0.014259813084112151</v>
      </c>
      <c r="N66" s="127">
        <v>316.7540000000001</v>
      </c>
      <c r="O66" s="417">
        <f t="shared" si="6"/>
        <v>4.516852833644862</v>
      </c>
      <c r="P66" s="127">
        <f t="shared" si="7"/>
        <v>855.5887850467291</v>
      </c>
      <c r="Q66" s="155">
        <f t="shared" si="8"/>
        <v>271.0111700186917</v>
      </c>
      <c r="S66" s="80"/>
      <c r="T66" s="80"/>
    </row>
    <row r="67" spans="1:20" ht="12.75">
      <c r="A67" s="988"/>
      <c r="B67" s="35">
        <v>4</v>
      </c>
      <c r="C67" s="34" t="s">
        <v>141</v>
      </c>
      <c r="D67" s="35">
        <v>22</v>
      </c>
      <c r="E67" s="35">
        <v>2006</v>
      </c>
      <c r="F67" s="248">
        <v>31.62</v>
      </c>
      <c r="G67" s="248">
        <v>6.8</v>
      </c>
      <c r="H67" s="640">
        <v>0.07</v>
      </c>
      <c r="I67" s="248">
        <f>F67-G67-H67</f>
        <v>24.75</v>
      </c>
      <c r="J67" s="110">
        <v>1698.2</v>
      </c>
      <c r="K67" s="128">
        <f t="shared" si="4"/>
        <v>24.747085148981274</v>
      </c>
      <c r="L67" s="35">
        <v>1698</v>
      </c>
      <c r="M67" s="128">
        <f t="shared" si="5"/>
        <v>0.014574255093628547</v>
      </c>
      <c r="N67" s="127">
        <v>316.7540000000001</v>
      </c>
      <c r="O67" s="417">
        <f t="shared" si="6"/>
        <v>4.616453597927218</v>
      </c>
      <c r="P67" s="127">
        <f t="shared" si="7"/>
        <v>874.4553056177128</v>
      </c>
      <c r="Q67" s="155">
        <f t="shared" si="8"/>
        <v>276.98721587563307</v>
      </c>
      <c r="S67" s="80"/>
      <c r="T67" s="80"/>
    </row>
    <row r="68" spans="1:20" ht="12.75">
      <c r="A68" s="988"/>
      <c r="B68" s="35">
        <v>5</v>
      </c>
      <c r="C68" s="34" t="s">
        <v>142</v>
      </c>
      <c r="D68" s="35">
        <v>61</v>
      </c>
      <c r="E68" s="35">
        <v>1975</v>
      </c>
      <c r="F68" s="248">
        <v>72.24</v>
      </c>
      <c r="G68" s="248">
        <v>7.35</v>
      </c>
      <c r="H68" s="640">
        <v>9.6</v>
      </c>
      <c r="I68" s="248">
        <f>F68-G68-H68</f>
        <v>55.29</v>
      </c>
      <c r="J68" s="110">
        <v>3635</v>
      </c>
      <c r="K68" s="128">
        <f t="shared" si="4"/>
        <v>55.29</v>
      </c>
      <c r="L68" s="35">
        <v>3635</v>
      </c>
      <c r="M68" s="128">
        <f t="shared" si="5"/>
        <v>0.015210453920220083</v>
      </c>
      <c r="N68" s="127">
        <v>316.7540000000001</v>
      </c>
      <c r="O68" s="417">
        <f t="shared" si="6"/>
        <v>4.817972121045393</v>
      </c>
      <c r="P68" s="127">
        <f t="shared" si="7"/>
        <v>912.627235213205</v>
      </c>
      <c r="Q68" s="155">
        <f t="shared" si="8"/>
        <v>289.07832726272363</v>
      </c>
      <c r="S68" s="80"/>
      <c r="T68" s="80"/>
    </row>
    <row r="69" spans="1:20" ht="12.75">
      <c r="A69" s="988"/>
      <c r="B69" s="35">
        <v>6</v>
      </c>
      <c r="C69" s="34" t="s">
        <v>143</v>
      </c>
      <c r="D69" s="35">
        <v>72</v>
      </c>
      <c r="E69" s="35">
        <v>1973</v>
      </c>
      <c r="F69" s="248">
        <v>78.34</v>
      </c>
      <c r="G69" s="248">
        <v>8.05</v>
      </c>
      <c r="H69" s="640">
        <v>11.52</v>
      </c>
      <c r="I69" s="248">
        <f>F69-G69-H69</f>
        <v>58.77000000000001</v>
      </c>
      <c r="J69" s="110">
        <v>3785.4</v>
      </c>
      <c r="K69" s="128">
        <f t="shared" si="4"/>
        <v>58.77000000000001</v>
      </c>
      <c r="L69" s="110">
        <v>3785.4</v>
      </c>
      <c r="M69" s="128">
        <f t="shared" si="5"/>
        <v>0.015525439847836426</v>
      </c>
      <c r="N69" s="127">
        <v>316.7540000000001</v>
      </c>
      <c r="O69" s="417">
        <f t="shared" si="6"/>
        <v>4.91774517356158</v>
      </c>
      <c r="P69" s="127">
        <f t="shared" si="7"/>
        <v>931.5263908701857</v>
      </c>
      <c r="Q69" s="155">
        <f t="shared" si="8"/>
        <v>295.06471041369485</v>
      </c>
      <c r="S69" s="80"/>
      <c r="T69" s="80"/>
    </row>
    <row r="70" spans="1:20" ht="12.75">
      <c r="A70" s="988"/>
      <c r="B70" s="35">
        <v>7</v>
      </c>
      <c r="C70" s="34" t="s">
        <v>144</v>
      </c>
      <c r="D70" s="35">
        <v>54</v>
      </c>
      <c r="E70" s="35">
        <v>1980</v>
      </c>
      <c r="F70" s="248">
        <v>81.69</v>
      </c>
      <c r="G70" s="248">
        <v>6.69</v>
      </c>
      <c r="H70" s="640">
        <f>F70-I70-G70</f>
        <v>13.739999999999998</v>
      </c>
      <c r="I70" s="248">
        <v>61.26</v>
      </c>
      <c r="J70" s="110">
        <v>3508.9</v>
      </c>
      <c r="K70" s="128">
        <f t="shared" si="4"/>
        <v>61.25999999999999</v>
      </c>
      <c r="L70" s="110">
        <v>3508.9</v>
      </c>
      <c r="M70" s="128">
        <f t="shared" si="5"/>
        <v>0.017458462766109035</v>
      </c>
      <c r="N70" s="127">
        <v>316.7540000000001</v>
      </c>
      <c r="O70" s="417">
        <f t="shared" si="6"/>
        <v>5.530037915016103</v>
      </c>
      <c r="P70" s="127">
        <f t="shared" si="7"/>
        <v>1047.5077659665421</v>
      </c>
      <c r="Q70" s="155">
        <f t="shared" si="8"/>
        <v>331.80227490096615</v>
      </c>
      <c r="S70" s="80"/>
      <c r="T70" s="80"/>
    </row>
    <row r="71" spans="1:20" ht="12.75">
      <c r="A71" s="988"/>
      <c r="B71" s="35">
        <v>8</v>
      </c>
      <c r="C71" s="34" t="s">
        <v>145</v>
      </c>
      <c r="D71" s="35">
        <v>54</v>
      </c>
      <c r="E71" s="35">
        <v>1985</v>
      </c>
      <c r="F71" s="248">
        <v>82.92</v>
      </c>
      <c r="G71" s="248">
        <v>8.47</v>
      </c>
      <c r="H71" s="640">
        <v>8.48</v>
      </c>
      <c r="I71" s="248">
        <f>F71-G71-H71</f>
        <v>65.97</v>
      </c>
      <c r="J71" s="110">
        <v>3480</v>
      </c>
      <c r="K71" s="128">
        <f t="shared" si="4"/>
        <v>65.97</v>
      </c>
      <c r="L71" s="35">
        <v>3480</v>
      </c>
      <c r="M71" s="128">
        <f t="shared" si="5"/>
        <v>0.018956896551724136</v>
      </c>
      <c r="N71" s="127">
        <v>316.7540000000001</v>
      </c>
      <c r="O71" s="417">
        <f t="shared" si="6"/>
        <v>6.004672810344829</v>
      </c>
      <c r="P71" s="127">
        <f t="shared" si="7"/>
        <v>1137.4137931034484</v>
      </c>
      <c r="Q71" s="155">
        <f t="shared" si="8"/>
        <v>360.2803686206898</v>
      </c>
      <c r="S71" s="80"/>
      <c r="T71" s="80"/>
    </row>
    <row r="72" spans="1:20" ht="12.75">
      <c r="A72" s="988"/>
      <c r="B72" s="60">
        <v>9</v>
      </c>
      <c r="C72" s="34" t="s">
        <v>146</v>
      </c>
      <c r="D72" s="35">
        <v>50</v>
      </c>
      <c r="E72" s="35">
        <v>1988</v>
      </c>
      <c r="F72" s="248">
        <v>94.13</v>
      </c>
      <c r="G72" s="248">
        <v>8.72</v>
      </c>
      <c r="H72" s="640">
        <v>8</v>
      </c>
      <c r="I72" s="248">
        <f>F72-G72-H72</f>
        <v>77.41</v>
      </c>
      <c r="J72" s="110">
        <v>3582.3</v>
      </c>
      <c r="K72" s="128">
        <f t="shared" si="4"/>
        <v>77.41</v>
      </c>
      <c r="L72" s="110">
        <v>3582.3</v>
      </c>
      <c r="M72" s="128">
        <f t="shared" si="5"/>
        <v>0.021609022136616137</v>
      </c>
      <c r="N72" s="127">
        <v>316.7540000000001</v>
      </c>
      <c r="O72" s="417">
        <f t="shared" si="6"/>
        <v>6.84474419786171</v>
      </c>
      <c r="P72" s="127">
        <f t="shared" si="7"/>
        <v>1296.5413281969682</v>
      </c>
      <c r="Q72" s="155">
        <f t="shared" si="8"/>
        <v>410.68465187170256</v>
      </c>
      <c r="S72" s="80"/>
      <c r="T72" s="80"/>
    </row>
    <row r="73" spans="1:20" ht="13.5" thickBot="1">
      <c r="A73" s="989"/>
      <c r="B73" s="37">
        <v>10</v>
      </c>
      <c r="C73" s="641" t="s">
        <v>147</v>
      </c>
      <c r="D73" s="61">
        <v>41</v>
      </c>
      <c r="E73" s="61">
        <v>1987</v>
      </c>
      <c r="F73" s="642">
        <v>69.62</v>
      </c>
      <c r="G73" s="642">
        <v>4.6</v>
      </c>
      <c r="H73" s="643">
        <v>6.08</v>
      </c>
      <c r="I73" s="642">
        <f>F73-G73-H73</f>
        <v>58.94000000000001</v>
      </c>
      <c r="J73" s="398">
        <v>2315.8</v>
      </c>
      <c r="K73" s="644">
        <f t="shared" si="4"/>
        <v>42.020010363589265</v>
      </c>
      <c r="L73" s="61">
        <v>1651</v>
      </c>
      <c r="M73" s="644">
        <f t="shared" si="5"/>
        <v>0.025451247948872966</v>
      </c>
      <c r="N73" s="407">
        <v>316.7540000000001</v>
      </c>
      <c r="O73" s="517">
        <f t="shared" si="6"/>
        <v>8.06178459279731</v>
      </c>
      <c r="P73" s="407">
        <f t="shared" si="7"/>
        <v>1527.074876932378</v>
      </c>
      <c r="Q73" s="408">
        <f t="shared" si="8"/>
        <v>483.70707556783856</v>
      </c>
      <c r="S73" s="80"/>
      <c r="T73" s="80"/>
    </row>
    <row r="74" spans="1:20" ht="12.75">
      <c r="A74" s="990" t="s">
        <v>47</v>
      </c>
      <c r="B74" s="218">
        <v>1</v>
      </c>
      <c r="C74" s="851" t="s">
        <v>148</v>
      </c>
      <c r="D74" s="218">
        <v>59</v>
      </c>
      <c r="E74" s="218">
        <v>1981</v>
      </c>
      <c r="F74" s="389">
        <v>107.8</v>
      </c>
      <c r="G74" s="389">
        <v>8.19</v>
      </c>
      <c r="H74" s="645">
        <v>9.6</v>
      </c>
      <c r="I74" s="389">
        <f>F74-G74-H74</f>
        <v>90.01</v>
      </c>
      <c r="J74" s="399">
        <v>3418.8</v>
      </c>
      <c r="K74" s="409">
        <f t="shared" si="4"/>
        <v>88.35660465660466</v>
      </c>
      <c r="L74" s="218">
        <v>3356</v>
      </c>
      <c r="M74" s="409">
        <f t="shared" si="5"/>
        <v>0.026327951327951328</v>
      </c>
      <c r="N74" s="390">
        <v>316.7540000000001</v>
      </c>
      <c r="O74" s="588">
        <f t="shared" si="6"/>
        <v>8.339483894933897</v>
      </c>
      <c r="P74" s="390">
        <f t="shared" si="7"/>
        <v>1579.6770796770795</v>
      </c>
      <c r="Q74" s="410">
        <f t="shared" si="8"/>
        <v>500.36903369603374</v>
      </c>
      <c r="S74" s="80"/>
      <c r="T74" s="80"/>
    </row>
    <row r="75" spans="1:20" ht="12.75" customHeight="1">
      <c r="A75" s="990"/>
      <c r="B75" s="219">
        <v>2</v>
      </c>
      <c r="C75" s="852" t="s">
        <v>149</v>
      </c>
      <c r="D75" s="219">
        <v>47</v>
      </c>
      <c r="E75" s="219">
        <v>1981</v>
      </c>
      <c r="F75" s="270">
        <v>105.8</v>
      </c>
      <c r="G75" s="270">
        <v>7.84</v>
      </c>
      <c r="H75" s="646">
        <f>F75-I75-G75</f>
        <v>12.379999999999999</v>
      </c>
      <c r="I75" s="270">
        <v>85.58</v>
      </c>
      <c r="J75" s="261">
        <v>2980.6</v>
      </c>
      <c r="K75" s="272">
        <f t="shared" si="4"/>
        <v>81.9450177816547</v>
      </c>
      <c r="L75" s="219">
        <v>2854</v>
      </c>
      <c r="M75" s="272">
        <f t="shared" si="5"/>
        <v>0.028712339797356237</v>
      </c>
      <c r="N75" s="271">
        <v>316.7540000000001</v>
      </c>
      <c r="O75" s="556">
        <f t="shared" si="6"/>
        <v>9.094748480171779</v>
      </c>
      <c r="P75" s="271">
        <f t="shared" si="7"/>
        <v>1722.7403878413743</v>
      </c>
      <c r="Q75" s="273">
        <f t="shared" si="8"/>
        <v>545.6849088103068</v>
      </c>
      <c r="S75" s="80"/>
      <c r="T75" s="80"/>
    </row>
    <row r="76" spans="1:20" ht="12.75" customHeight="1">
      <c r="A76" s="990"/>
      <c r="B76" s="219">
        <v>3</v>
      </c>
      <c r="C76" s="852" t="s">
        <v>150</v>
      </c>
      <c r="D76" s="219">
        <v>54</v>
      </c>
      <c r="E76" s="219">
        <v>1987</v>
      </c>
      <c r="F76" s="270">
        <v>77.43</v>
      </c>
      <c r="G76" s="270">
        <v>3.83</v>
      </c>
      <c r="H76" s="646">
        <v>8.4</v>
      </c>
      <c r="I76" s="270">
        <f aca="true" t="shared" si="9" ref="I76:I93">F76-G76-H76</f>
        <v>65.2</v>
      </c>
      <c r="J76" s="261">
        <v>2177.6</v>
      </c>
      <c r="K76" s="272">
        <f t="shared" si="4"/>
        <v>65.2</v>
      </c>
      <c r="L76" s="261">
        <v>2177.6</v>
      </c>
      <c r="M76" s="272">
        <f t="shared" si="5"/>
        <v>0.029941219691403384</v>
      </c>
      <c r="N76" s="271">
        <v>316.7540000000001</v>
      </c>
      <c r="O76" s="556">
        <f t="shared" si="6"/>
        <v>9.48400110213079</v>
      </c>
      <c r="P76" s="271">
        <f t="shared" si="7"/>
        <v>1796.473181484203</v>
      </c>
      <c r="Q76" s="273">
        <f t="shared" si="8"/>
        <v>569.0400661278475</v>
      </c>
      <c r="S76" s="80"/>
      <c r="T76" s="80"/>
    </row>
    <row r="77" spans="1:20" ht="12.75" customHeight="1">
      <c r="A77" s="990"/>
      <c r="B77" s="219">
        <v>4</v>
      </c>
      <c r="C77" s="852" t="s">
        <v>151</v>
      </c>
      <c r="D77" s="219">
        <v>57</v>
      </c>
      <c r="E77" s="219">
        <v>1982</v>
      </c>
      <c r="F77" s="270">
        <v>122.18</v>
      </c>
      <c r="G77" s="270">
        <v>7.28</v>
      </c>
      <c r="H77" s="646">
        <v>8.64</v>
      </c>
      <c r="I77" s="270">
        <f t="shared" si="9"/>
        <v>106.26</v>
      </c>
      <c r="J77" s="261">
        <v>3486.1</v>
      </c>
      <c r="K77" s="272">
        <f t="shared" si="4"/>
        <v>104.91578554832049</v>
      </c>
      <c r="L77" s="261">
        <v>3442</v>
      </c>
      <c r="M77" s="272">
        <f t="shared" si="5"/>
        <v>0.030481053326066383</v>
      </c>
      <c r="N77" s="271">
        <v>316.7540000000001</v>
      </c>
      <c r="O77" s="556">
        <f t="shared" si="6"/>
        <v>9.654995565244834</v>
      </c>
      <c r="P77" s="271">
        <f t="shared" si="7"/>
        <v>1828.863199563983</v>
      </c>
      <c r="Q77" s="273">
        <f t="shared" si="8"/>
        <v>579.29973391469</v>
      </c>
      <c r="S77" s="80"/>
      <c r="T77" s="80"/>
    </row>
    <row r="78" spans="1:20" ht="12.75" customHeight="1">
      <c r="A78" s="990"/>
      <c r="B78" s="219">
        <v>5</v>
      </c>
      <c r="C78" s="852" t="s">
        <v>152</v>
      </c>
      <c r="D78" s="219">
        <v>118</v>
      </c>
      <c r="E78" s="219">
        <v>1961</v>
      </c>
      <c r="F78" s="270">
        <v>91.73</v>
      </c>
      <c r="G78" s="270">
        <v>11.6</v>
      </c>
      <c r="H78" s="646"/>
      <c r="I78" s="270">
        <f t="shared" si="9"/>
        <v>80.13000000000001</v>
      </c>
      <c r="J78" s="261">
        <v>2622</v>
      </c>
      <c r="K78" s="272">
        <f t="shared" si="4"/>
        <v>76.64608695652174</v>
      </c>
      <c r="L78" s="219">
        <v>2508</v>
      </c>
      <c r="M78" s="272">
        <f t="shared" si="5"/>
        <v>0.030560640732265446</v>
      </c>
      <c r="N78" s="271">
        <v>316.7540000000001</v>
      </c>
      <c r="O78" s="556">
        <f t="shared" si="6"/>
        <v>9.680205194508012</v>
      </c>
      <c r="P78" s="271">
        <f t="shared" si="7"/>
        <v>1833.6384439359267</v>
      </c>
      <c r="Q78" s="273">
        <f t="shared" si="8"/>
        <v>580.8123116704807</v>
      </c>
      <c r="S78" s="80"/>
      <c r="T78" s="80"/>
    </row>
    <row r="79" spans="1:20" ht="12.75" customHeight="1">
      <c r="A79" s="990"/>
      <c r="B79" s="219">
        <v>6</v>
      </c>
      <c r="C79" s="852" t="s">
        <v>153</v>
      </c>
      <c r="D79" s="219">
        <v>107</v>
      </c>
      <c r="E79" s="219">
        <v>1974</v>
      </c>
      <c r="F79" s="270">
        <v>104.99</v>
      </c>
      <c r="G79" s="270">
        <v>9.24</v>
      </c>
      <c r="H79" s="646">
        <v>17.04</v>
      </c>
      <c r="I79" s="270">
        <f t="shared" si="9"/>
        <v>78.71000000000001</v>
      </c>
      <c r="J79" s="261">
        <v>2560</v>
      </c>
      <c r="K79" s="272">
        <f t="shared" si="4"/>
        <v>76.95747265625</v>
      </c>
      <c r="L79" s="219">
        <v>2503</v>
      </c>
      <c r="M79" s="272">
        <f t="shared" si="5"/>
        <v>0.03074609375</v>
      </c>
      <c r="N79" s="271">
        <v>316.7540000000001</v>
      </c>
      <c r="O79" s="556">
        <f t="shared" si="6"/>
        <v>9.738948179687503</v>
      </c>
      <c r="P79" s="271">
        <f t="shared" si="7"/>
        <v>1844.7656250000002</v>
      </c>
      <c r="Q79" s="273">
        <f t="shared" si="8"/>
        <v>584.3368907812502</v>
      </c>
      <c r="S79" s="80"/>
      <c r="T79" s="80"/>
    </row>
    <row r="80" spans="1:20" s="88" customFormat="1" ht="12.75" customHeight="1">
      <c r="A80" s="990"/>
      <c r="B80" s="260">
        <v>7</v>
      </c>
      <c r="C80" s="852" t="s">
        <v>154</v>
      </c>
      <c r="D80" s="219">
        <v>38</v>
      </c>
      <c r="E80" s="219">
        <v>1990</v>
      </c>
      <c r="F80" s="270">
        <v>78.57</v>
      </c>
      <c r="G80" s="270">
        <v>6.49</v>
      </c>
      <c r="H80" s="646">
        <v>5.84</v>
      </c>
      <c r="I80" s="270">
        <f t="shared" si="9"/>
        <v>66.24</v>
      </c>
      <c r="J80" s="261">
        <v>2119.3</v>
      </c>
      <c r="K80" s="272">
        <f t="shared" si="4"/>
        <v>66.24</v>
      </c>
      <c r="L80" s="261">
        <v>2119.3</v>
      </c>
      <c r="M80" s="272">
        <f t="shared" si="5"/>
        <v>0.03125560326522908</v>
      </c>
      <c r="N80" s="271">
        <v>316.7540000000001</v>
      </c>
      <c r="O80" s="556">
        <f t="shared" si="6"/>
        <v>9.900337356674376</v>
      </c>
      <c r="P80" s="271">
        <f t="shared" si="7"/>
        <v>1875.3361959137449</v>
      </c>
      <c r="Q80" s="273">
        <f t="shared" si="8"/>
        <v>594.0202414004625</v>
      </c>
      <c r="S80" s="80"/>
      <c r="T80" s="80"/>
    </row>
    <row r="81" spans="1:20" ht="12.75" customHeight="1">
      <c r="A81" s="990"/>
      <c r="B81" s="262">
        <v>8</v>
      </c>
      <c r="C81" s="852" t="s">
        <v>155</v>
      </c>
      <c r="D81" s="219">
        <v>108</v>
      </c>
      <c r="E81" s="219">
        <v>1968</v>
      </c>
      <c r="F81" s="270">
        <v>108.81</v>
      </c>
      <c r="G81" s="270">
        <v>9.5</v>
      </c>
      <c r="H81" s="646">
        <v>17.2</v>
      </c>
      <c r="I81" s="270">
        <f t="shared" si="9"/>
        <v>82.11</v>
      </c>
      <c r="J81" s="261">
        <v>2558.4</v>
      </c>
      <c r="K81" s="272">
        <f t="shared" si="4"/>
        <v>82.11</v>
      </c>
      <c r="L81" s="261">
        <v>2558.4</v>
      </c>
      <c r="M81" s="272">
        <f t="shared" si="5"/>
        <v>0.032094277673545966</v>
      </c>
      <c r="N81" s="271">
        <v>316.7540000000001</v>
      </c>
      <c r="O81" s="556">
        <f t="shared" si="6"/>
        <v>10.16599083020638</v>
      </c>
      <c r="P81" s="271">
        <f t="shared" si="7"/>
        <v>1925.6566604127581</v>
      </c>
      <c r="Q81" s="273">
        <f t="shared" si="8"/>
        <v>609.9594498123829</v>
      </c>
      <c r="S81" s="80"/>
      <c r="T81" s="80"/>
    </row>
    <row r="82" spans="1:20" s="88" customFormat="1" ht="12.75" customHeight="1">
      <c r="A82" s="990"/>
      <c r="B82" s="260">
        <v>9</v>
      </c>
      <c r="C82" s="852" t="s">
        <v>156</v>
      </c>
      <c r="D82" s="219">
        <v>47</v>
      </c>
      <c r="E82" s="219">
        <v>1979</v>
      </c>
      <c r="F82" s="270">
        <v>113.02</v>
      </c>
      <c r="G82" s="270">
        <v>8.83</v>
      </c>
      <c r="H82" s="646">
        <v>7.44</v>
      </c>
      <c r="I82" s="270">
        <f t="shared" si="9"/>
        <v>96.75</v>
      </c>
      <c r="J82" s="261">
        <v>2974.6</v>
      </c>
      <c r="K82" s="272">
        <f t="shared" si="4"/>
        <v>94.90906340348282</v>
      </c>
      <c r="L82" s="219">
        <v>2918</v>
      </c>
      <c r="M82" s="272">
        <f t="shared" si="5"/>
        <v>0.03252538156390775</v>
      </c>
      <c r="N82" s="271">
        <v>316.7540000000001</v>
      </c>
      <c r="O82" s="556">
        <f t="shared" si="6"/>
        <v>10.302544711894038</v>
      </c>
      <c r="P82" s="271">
        <f t="shared" si="7"/>
        <v>1951.522893834465</v>
      </c>
      <c r="Q82" s="273">
        <f t="shared" si="8"/>
        <v>618.1526827136422</v>
      </c>
      <c r="S82" s="80"/>
      <c r="T82" s="80"/>
    </row>
    <row r="83" spans="1:20" ht="12.75" customHeight="1" thickBot="1">
      <c r="A83" s="991"/>
      <c r="B83" s="232">
        <v>10</v>
      </c>
      <c r="C83" s="853" t="s">
        <v>157</v>
      </c>
      <c r="D83" s="232">
        <v>92</v>
      </c>
      <c r="E83" s="232">
        <v>1991</v>
      </c>
      <c r="F83" s="274">
        <v>149.77</v>
      </c>
      <c r="G83" s="274">
        <v>7.81</v>
      </c>
      <c r="H83" s="647">
        <v>15.12</v>
      </c>
      <c r="I83" s="274">
        <f t="shared" si="9"/>
        <v>126.84</v>
      </c>
      <c r="J83" s="263">
        <v>3720.6</v>
      </c>
      <c r="K83" s="276">
        <f t="shared" si="4"/>
        <v>120.88766328011612</v>
      </c>
      <c r="L83" s="232">
        <v>3546</v>
      </c>
      <c r="M83" s="276">
        <f t="shared" si="5"/>
        <v>0.03409127560070956</v>
      </c>
      <c r="N83" s="275">
        <v>316.7540000000001</v>
      </c>
      <c r="O83" s="589">
        <f t="shared" si="6"/>
        <v>10.798547911627159</v>
      </c>
      <c r="P83" s="275">
        <f t="shared" si="7"/>
        <v>2045.4765360425738</v>
      </c>
      <c r="Q83" s="277">
        <f t="shared" si="8"/>
        <v>647.9128746976296</v>
      </c>
      <c r="S83" s="80"/>
      <c r="T83" s="80"/>
    </row>
    <row r="84" spans="1:20" ht="12.75">
      <c r="A84" s="968" t="s">
        <v>52</v>
      </c>
      <c r="B84" s="73">
        <v>1</v>
      </c>
      <c r="C84" s="859" t="s">
        <v>158</v>
      </c>
      <c r="D84" s="38">
        <v>28</v>
      </c>
      <c r="E84" s="38">
        <v>1957</v>
      </c>
      <c r="F84" s="394">
        <v>51.56</v>
      </c>
      <c r="G84" s="394"/>
      <c r="H84" s="648"/>
      <c r="I84" s="422">
        <f t="shared" si="9"/>
        <v>51.56</v>
      </c>
      <c r="J84" s="334">
        <v>1461.6</v>
      </c>
      <c r="K84" s="414">
        <f t="shared" si="4"/>
        <v>45.8642709359606</v>
      </c>
      <c r="L84" s="334">
        <v>1300.14</v>
      </c>
      <c r="M84" s="414">
        <f t="shared" si="5"/>
        <v>0.03527640941434045</v>
      </c>
      <c r="N84" s="415">
        <v>316.7540000000001</v>
      </c>
      <c r="O84" s="418">
        <f t="shared" si="6"/>
        <v>11.173943787629998</v>
      </c>
      <c r="P84" s="415">
        <f t="shared" si="7"/>
        <v>2116.5845648604272</v>
      </c>
      <c r="Q84" s="416">
        <f t="shared" si="8"/>
        <v>670.4366272578</v>
      </c>
      <c r="S84" s="80"/>
      <c r="T84" s="80"/>
    </row>
    <row r="85" spans="1:20" ht="12.75" customHeight="1">
      <c r="A85" s="968"/>
      <c r="B85" s="40">
        <v>2</v>
      </c>
      <c r="C85" s="99" t="s">
        <v>159</v>
      </c>
      <c r="D85" s="40">
        <v>55</v>
      </c>
      <c r="E85" s="40">
        <v>1977</v>
      </c>
      <c r="F85" s="295">
        <v>98.79</v>
      </c>
      <c r="G85" s="295">
        <v>4.19</v>
      </c>
      <c r="H85" s="649">
        <v>8.56</v>
      </c>
      <c r="I85" s="295">
        <f t="shared" si="9"/>
        <v>86.04</v>
      </c>
      <c r="J85" s="297">
        <v>2217.3</v>
      </c>
      <c r="K85" s="289">
        <f t="shared" si="4"/>
        <v>86.04</v>
      </c>
      <c r="L85" s="297">
        <v>2217.3</v>
      </c>
      <c r="M85" s="289">
        <f t="shared" si="5"/>
        <v>0.03880395075091327</v>
      </c>
      <c r="N85" s="290">
        <v>316.7540000000001</v>
      </c>
      <c r="O85" s="419">
        <f t="shared" si="6"/>
        <v>12.291306616154786</v>
      </c>
      <c r="P85" s="290">
        <f t="shared" si="7"/>
        <v>2328.2370450547965</v>
      </c>
      <c r="Q85" s="291">
        <f t="shared" si="8"/>
        <v>737.4783969692872</v>
      </c>
      <c r="S85" s="80"/>
      <c r="T85" s="80"/>
    </row>
    <row r="86" spans="1:20" ht="12.75" customHeight="1">
      <c r="A86" s="968"/>
      <c r="B86" s="40">
        <v>3</v>
      </c>
      <c r="C86" s="99" t="s">
        <v>160</v>
      </c>
      <c r="D86" s="40">
        <v>19</v>
      </c>
      <c r="E86" s="40">
        <v>1959</v>
      </c>
      <c r="F86" s="295">
        <v>41.5</v>
      </c>
      <c r="G86" s="295">
        <v>2.24</v>
      </c>
      <c r="H86" s="649"/>
      <c r="I86" s="295">
        <f t="shared" si="9"/>
        <v>39.26</v>
      </c>
      <c r="J86" s="297">
        <v>1005.8</v>
      </c>
      <c r="K86" s="289">
        <f t="shared" si="4"/>
        <v>39.26</v>
      </c>
      <c r="L86" s="297">
        <v>1005.8</v>
      </c>
      <c r="M86" s="289">
        <f t="shared" si="5"/>
        <v>0.039033605090475244</v>
      </c>
      <c r="N86" s="290">
        <v>316.7540000000001</v>
      </c>
      <c r="O86" s="419">
        <f t="shared" si="6"/>
        <v>12.364050546828398</v>
      </c>
      <c r="P86" s="290">
        <f t="shared" si="7"/>
        <v>2342.0163054285144</v>
      </c>
      <c r="Q86" s="291">
        <f t="shared" si="8"/>
        <v>741.8430328097038</v>
      </c>
      <c r="S86" s="80"/>
      <c r="T86" s="80"/>
    </row>
    <row r="87" spans="1:20" ht="12.75" customHeight="1">
      <c r="A87" s="968"/>
      <c r="B87" s="40">
        <v>4</v>
      </c>
      <c r="C87" s="99" t="s">
        <v>161</v>
      </c>
      <c r="D87" s="40">
        <v>20</v>
      </c>
      <c r="E87" s="40">
        <v>1959</v>
      </c>
      <c r="F87" s="295">
        <v>41.4</v>
      </c>
      <c r="G87" s="295">
        <v>2.7</v>
      </c>
      <c r="H87" s="649"/>
      <c r="I87" s="295">
        <f t="shared" si="9"/>
        <v>38.699999999999996</v>
      </c>
      <c r="J87" s="297">
        <v>985.4</v>
      </c>
      <c r="K87" s="289">
        <f t="shared" si="4"/>
        <v>38.699999999999996</v>
      </c>
      <c r="L87" s="297">
        <v>985.4</v>
      </c>
      <c r="M87" s="289">
        <f t="shared" si="5"/>
        <v>0.039273391516135576</v>
      </c>
      <c r="N87" s="290">
        <v>316.7540000000001</v>
      </c>
      <c r="O87" s="419">
        <f t="shared" si="6"/>
        <v>12.440003856302011</v>
      </c>
      <c r="P87" s="290">
        <f t="shared" si="7"/>
        <v>2356.4034909681345</v>
      </c>
      <c r="Q87" s="291">
        <f t="shared" si="8"/>
        <v>746.4002313781206</v>
      </c>
      <c r="S87" s="80"/>
      <c r="T87" s="80"/>
    </row>
    <row r="88" spans="1:20" ht="12.75" customHeight="1">
      <c r="A88" s="968"/>
      <c r="B88" s="40">
        <v>5</v>
      </c>
      <c r="C88" s="99" t="s">
        <v>162</v>
      </c>
      <c r="D88" s="40">
        <v>25</v>
      </c>
      <c r="E88" s="40">
        <v>1957</v>
      </c>
      <c r="F88" s="295">
        <v>61.45</v>
      </c>
      <c r="G88" s="295"/>
      <c r="H88" s="649"/>
      <c r="I88" s="423">
        <f t="shared" si="9"/>
        <v>61.45</v>
      </c>
      <c r="J88" s="297">
        <v>1561.5</v>
      </c>
      <c r="K88" s="289">
        <f t="shared" si="4"/>
        <v>61.45000000000001</v>
      </c>
      <c r="L88" s="297">
        <v>1561.5</v>
      </c>
      <c r="M88" s="289">
        <f t="shared" si="5"/>
        <v>0.039353186039065007</v>
      </c>
      <c r="N88" s="290">
        <v>316.7540000000001</v>
      </c>
      <c r="O88" s="419">
        <f t="shared" si="6"/>
        <v>12.465279090618</v>
      </c>
      <c r="P88" s="290">
        <f t="shared" si="7"/>
        <v>2361.1911623439005</v>
      </c>
      <c r="Q88" s="291">
        <f t="shared" si="8"/>
        <v>747.9167454370801</v>
      </c>
      <c r="S88" s="80"/>
      <c r="T88" s="80"/>
    </row>
    <row r="89" spans="1:20" ht="12.75" customHeight="1">
      <c r="A89" s="968"/>
      <c r="B89" s="40">
        <v>6</v>
      </c>
      <c r="C89" s="99" t="s">
        <v>163</v>
      </c>
      <c r="D89" s="40">
        <v>103</v>
      </c>
      <c r="E89" s="40">
        <v>1972</v>
      </c>
      <c r="F89" s="295">
        <v>124.48</v>
      </c>
      <c r="G89" s="295">
        <v>7.84</v>
      </c>
      <c r="H89" s="649">
        <v>15.9</v>
      </c>
      <c r="I89" s="295">
        <f t="shared" si="9"/>
        <v>100.74</v>
      </c>
      <c r="J89" s="297">
        <v>2557</v>
      </c>
      <c r="K89" s="289">
        <f t="shared" si="4"/>
        <v>96.24865858427846</v>
      </c>
      <c r="L89" s="40">
        <v>2443</v>
      </c>
      <c r="M89" s="289">
        <f t="shared" si="5"/>
        <v>0.03939773171685569</v>
      </c>
      <c r="N89" s="290">
        <v>316.7540000000001</v>
      </c>
      <c r="O89" s="419">
        <f t="shared" si="6"/>
        <v>12.479389112240911</v>
      </c>
      <c r="P89" s="290">
        <f t="shared" si="7"/>
        <v>2363.8639030113413</v>
      </c>
      <c r="Q89" s="291">
        <f t="shared" si="8"/>
        <v>748.7633467344547</v>
      </c>
      <c r="S89" s="80"/>
      <c r="T89" s="80"/>
    </row>
    <row r="90" spans="1:20" ht="12.75" customHeight="1">
      <c r="A90" s="968"/>
      <c r="B90" s="40">
        <v>7</v>
      </c>
      <c r="C90" s="99" t="s">
        <v>164</v>
      </c>
      <c r="D90" s="40">
        <v>63</v>
      </c>
      <c r="E90" s="40">
        <v>1960</v>
      </c>
      <c r="F90" s="295">
        <v>44.73</v>
      </c>
      <c r="G90" s="295">
        <v>4.4</v>
      </c>
      <c r="H90" s="649"/>
      <c r="I90" s="295">
        <f t="shared" si="9"/>
        <v>40.33</v>
      </c>
      <c r="J90" s="297">
        <v>935</v>
      </c>
      <c r="K90" s="289">
        <f t="shared" si="4"/>
        <v>38.043914438502675</v>
      </c>
      <c r="L90" s="40">
        <v>882</v>
      </c>
      <c r="M90" s="289">
        <f t="shared" si="5"/>
        <v>0.04313368983957219</v>
      </c>
      <c r="N90" s="290">
        <v>316.7540000000001</v>
      </c>
      <c r="O90" s="419">
        <f t="shared" si="6"/>
        <v>13.662768791443854</v>
      </c>
      <c r="P90" s="290">
        <f t="shared" si="7"/>
        <v>2588.0213903743315</v>
      </c>
      <c r="Q90" s="291">
        <f t="shared" si="8"/>
        <v>819.7661274866311</v>
      </c>
      <c r="S90" s="80"/>
      <c r="T90" s="80"/>
    </row>
    <row r="91" spans="1:20" ht="13.5" customHeight="1">
      <c r="A91" s="968"/>
      <c r="B91" s="593">
        <v>8</v>
      </c>
      <c r="C91" s="99" t="s">
        <v>165</v>
      </c>
      <c r="D91" s="40">
        <v>18</v>
      </c>
      <c r="E91" s="40">
        <v>1959</v>
      </c>
      <c r="F91" s="295">
        <v>43.32</v>
      </c>
      <c r="G91" s="295">
        <v>1.62</v>
      </c>
      <c r="H91" s="649"/>
      <c r="I91" s="295">
        <f t="shared" si="9"/>
        <v>41.7</v>
      </c>
      <c r="J91" s="297">
        <v>963.8</v>
      </c>
      <c r="K91" s="289">
        <f t="shared" si="4"/>
        <v>41.7</v>
      </c>
      <c r="L91" s="297">
        <v>963.8</v>
      </c>
      <c r="M91" s="289">
        <f t="shared" si="5"/>
        <v>0.043266237808674</v>
      </c>
      <c r="N91" s="290">
        <v>316.7540000000001</v>
      </c>
      <c r="O91" s="419">
        <f t="shared" si="6"/>
        <v>13.704753890848728</v>
      </c>
      <c r="P91" s="290">
        <f t="shared" si="7"/>
        <v>2595.97426852044</v>
      </c>
      <c r="Q91" s="291">
        <f t="shared" si="8"/>
        <v>822.2852334509237</v>
      </c>
      <c r="S91" s="80"/>
      <c r="T91" s="80"/>
    </row>
    <row r="92" spans="1:20" ht="12.75" customHeight="1">
      <c r="A92" s="968"/>
      <c r="B92" s="40">
        <v>9</v>
      </c>
      <c r="C92" s="99" t="s">
        <v>166</v>
      </c>
      <c r="D92" s="40">
        <v>77</v>
      </c>
      <c r="E92" s="40">
        <v>1960</v>
      </c>
      <c r="F92" s="295">
        <v>67.67</v>
      </c>
      <c r="G92" s="295">
        <v>6.83</v>
      </c>
      <c r="H92" s="649">
        <v>1.16</v>
      </c>
      <c r="I92" s="295">
        <f t="shared" si="9"/>
        <v>59.68000000000001</v>
      </c>
      <c r="J92" s="297">
        <v>1264.2</v>
      </c>
      <c r="K92" s="289">
        <f t="shared" si="4"/>
        <v>58.9624426514792</v>
      </c>
      <c r="L92" s="40">
        <v>1249</v>
      </c>
      <c r="M92" s="289">
        <f t="shared" si="5"/>
        <v>0.0472077202974213</v>
      </c>
      <c r="N92" s="290">
        <v>316.7540000000001</v>
      </c>
      <c r="O92" s="419">
        <f t="shared" si="6"/>
        <v>14.95323423508939</v>
      </c>
      <c r="P92" s="290">
        <f t="shared" si="7"/>
        <v>2832.463217845278</v>
      </c>
      <c r="Q92" s="291">
        <f t="shared" si="8"/>
        <v>897.1940541053634</v>
      </c>
      <c r="S92" s="80"/>
      <c r="T92" s="80"/>
    </row>
    <row r="93" spans="1:20" ht="12.75" customHeight="1" thickBot="1">
      <c r="A93" s="969"/>
      <c r="B93" s="42">
        <v>10</v>
      </c>
      <c r="C93" s="100" t="s">
        <v>167</v>
      </c>
      <c r="D93" s="42">
        <v>8</v>
      </c>
      <c r="E93" s="42">
        <v>1901</v>
      </c>
      <c r="F93" s="296">
        <v>16.52</v>
      </c>
      <c r="G93" s="296"/>
      <c r="H93" s="650"/>
      <c r="I93" s="296">
        <f t="shared" si="9"/>
        <v>16.52</v>
      </c>
      <c r="J93" s="333">
        <v>330</v>
      </c>
      <c r="K93" s="286">
        <f t="shared" si="4"/>
        <v>16.52</v>
      </c>
      <c r="L93" s="42">
        <v>330</v>
      </c>
      <c r="M93" s="286">
        <f t="shared" si="5"/>
        <v>0.05006060606060606</v>
      </c>
      <c r="N93" s="287">
        <v>316.7540000000001</v>
      </c>
      <c r="O93" s="420">
        <f t="shared" si="6"/>
        <v>15.856897212121217</v>
      </c>
      <c r="P93" s="287">
        <f t="shared" si="7"/>
        <v>3003.636363636364</v>
      </c>
      <c r="Q93" s="288">
        <f t="shared" si="8"/>
        <v>951.4138327272731</v>
      </c>
      <c r="S93" s="80"/>
      <c r="T93" s="80"/>
    </row>
    <row r="94" spans="3:20" ht="12.75">
      <c r="C94" s="1"/>
      <c r="S94" s="80"/>
      <c r="T94" s="80"/>
    </row>
    <row r="95" spans="1:20" ht="15">
      <c r="A95" s="974" t="s">
        <v>58</v>
      </c>
      <c r="B95" s="974"/>
      <c r="C95" s="974"/>
      <c r="D95" s="974"/>
      <c r="E95" s="974"/>
      <c r="F95" s="974"/>
      <c r="G95" s="974"/>
      <c r="H95" s="974"/>
      <c r="I95" s="974"/>
      <c r="J95" s="974"/>
      <c r="K95" s="974"/>
      <c r="L95" s="974"/>
      <c r="M95" s="974"/>
      <c r="N95" s="974"/>
      <c r="O95" s="974"/>
      <c r="P95" s="974"/>
      <c r="Q95" s="974"/>
      <c r="S95" s="80"/>
      <c r="T95" s="80"/>
    </row>
    <row r="96" spans="1:20" ht="13.5" thickBot="1">
      <c r="A96" s="894" t="s">
        <v>168</v>
      </c>
      <c r="B96" s="894"/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4"/>
      <c r="P96" s="894"/>
      <c r="Q96" s="894"/>
      <c r="S96" s="80"/>
      <c r="T96" s="80"/>
    </row>
    <row r="97" spans="1:20" ht="12.75" customHeight="1">
      <c r="A97" s="885" t="s">
        <v>1</v>
      </c>
      <c r="B97" s="908" t="s">
        <v>0</v>
      </c>
      <c r="C97" s="880" t="s">
        <v>2</v>
      </c>
      <c r="D97" s="880" t="s">
        <v>3</v>
      </c>
      <c r="E97" s="880" t="s">
        <v>13</v>
      </c>
      <c r="F97" s="911" t="s">
        <v>14</v>
      </c>
      <c r="G97" s="912"/>
      <c r="H97" s="912"/>
      <c r="I97" s="913"/>
      <c r="J97" s="880" t="s">
        <v>4</v>
      </c>
      <c r="K97" s="880" t="s">
        <v>15</v>
      </c>
      <c r="L97" s="880" t="s">
        <v>5</v>
      </c>
      <c r="M97" s="880" t="s">
        <v>6</v>
      </c>
      <c r="N97" s="880" t="s">
        <v>16</v>
      </c>
      <c r="O97" s="880" t="s">
        <v>17</v>
      </c>
      <c r="P97" s="880" t="s">
        <v>25</v>
      </c>
      <c r="Q97" s="983" t="s">
        <v>26</v>
      </c>
      <c r="S97" s="80"/>
      <c r="T97" s="80"/>
    </row>
    <row r="98" spans="1:20" ht="55.5" customHeight="1" thickBot="1">
      <c r="A98" s="887"/>
      <c r="B98" s="910"/>
      <c r="C98" s="889"/>
      <c r="D98" s="889"/>
      <c r="E98" s="889"/>
      <c r="F98" s="20" t="s">
        <v>18</v>
      </c>
      <c r="G98" s="21" t="s">
        <v>19</v>
      </c>
      <c r="H98" s="21" t="s">
        <v>32</v>
      </c>
      <c r="I98" s="20" t="s">
        <v>21</v>
      </c>
      <c r="J98" s="889"/>
      <c r="K98" s="889"/>
      <c r="L98" s="889"/>
      <c r="M98" s="889"/>
      <c r="N98" s="889"/>
      <c r="O98" s="889"/>
      <c r="P98" s="889"/>
      <c r="Q98" s="984"/>
      <c r="S98" s="80"/>
      <c r="T98" s="80"/>
    </row>
    <row r="99" spans="1:20" ht="13.5" customHeight="1" thickBot="1">
      <c r="A99" s="22"/>
      <c r="B99" s="23"/>
      <c r="C99" s="24"/>
      <c r="D99" s="25" t="s">
        <v>7</v>
      </c>
      <c r="E99" s="26" t="s">
        <v>8</v>
      </c>
      <c r="F99" s="26" t="s">
        <v>9</v>
      </c>
      <c r="G99" s="26" t="s">
        <v>9</v>
      </c>
      <c r="H99" s="26" t="s">
        <v>9</v>
      </c>
      <c r="I99" s="26" t="s">
        <v>9</v>
      </c>
      <c r="J99" s="26" t="s">
        <v>22</v>
      </c>
      <c r="K99" s="26" t="s">
        <v>9</v>
      </c>
      <c r="L99" s="26" t="s">
        <v>22</v>
      </c>
      <c r="M99" s="26" t="s">
        <v>71</v>
      </c>
      <c r="N99" s="27" t="s">
        <v>10</v>
      </c>
      <c r="O99" s="26" t="s">
        <v>72</v>
      </c>
      <c r="P99" s="27" t="s">
        <v>27</v>
      </c>
      <c r="Q99" s="28" t="s">
        <v>28</v>
      </c>
      <c r="S99" s="80"/>
      <c r="T99" s="80"/>
    </row>
    <row r="100" spans="1:20" ht="12.75" customHeight="1">
      <c r="A100" s="1007" t="s">
        <v>74</v>
      </c>
      <c r="B100" s="30">
        <v>1</v>
      </c>
      <c r="C100" s="855" t="s">
        <v>169</v>
      </c>
      <c r="D100" s="30">
        <v>60</v>
      </c>
      <c r="E100" s="30">
        <v>1972</v>
      </c>
      <c r="F100" s="378">
        <v>27.776</v>
      </c>
      <c r="G100" s="378">
        <v>4.995987</v>
      </c>
      <c r="H100" s="378">
        <v>5.97</v>
      </c>
      <c r="I100" s="378">
        <f>F100-G100-H100</f>
        <v>16.810013</v>
      </c>
      <c r="J100" s="395">
        <v>3118</v>
      </c>
      <c r="K100" s="401">
        <f>I100</f>
        <v>16.810013</v>
      </c>
      <c r="L100" s="395">
        <f>J100</f>
        <v>3118</v>
      </c>
      <c r="M100" s="401">
        <f>K100/L100</f>
        <v>0.005391280628608082</v>
      </c>
      <c r="N100" s="246">
        <v>278.386</v>
      </c>
      <c r="O100" s="583">
        <f>M100*N100</f>
        <v>1.5008570490756896</v>
      </c>
      <c r="P100" s="583">
        <f>M100*60*1000</f>
        <v>323.47683771648497</v>
      </c>
      <c r="Q100" s="239">
        <f>P100*N100/1000</f>
        <v>90.0514229445414</v>
      </c>
      <c r="S100" s="80"/>
      <c r="T100" s="80"/>
    </row>
    <row r="101" spans="1:20" ht="12.75">
      <c r="A101" s="1008"/>
      <c r="B101" s="31">
        <v>2</v>
      </c>
      <c r="C101" s="856" t="s">
        <v>170</v>
      </c>
      <c r="D101" s="31">
        <v>120</v>
      </c>
      <c r="E101" s="31">
        <v>1966</v>
      </c>
      <c r="F101" s="135">
        <v>65.14963</v>
      </c>
      <c r="G101" s="135">
        <v>9.57787</v>
      </c>
      <c r="H101" s="135">
        <v>12</v>
      </c>
      <c r="I101" s="235">
        <f aca="true" t="shared" si="10" ref="I101:I139">F101-G101-H101</f>
        <v>43.57176</v>
      </c>
      <c r="J101" s="163">
        <v>5780.94</v>
      </c>
      <c r="K101" s="237">
        <f aca="true" t="shared" si="11" ref="K101:L139">I101</f>
        <v>43.57176</v>
      </c>
      <c r="L101" s="86">
        <f t="shared" si="11"/>
        <v>5780.94</v>
      </c>
      <c r="M101" s="122">
        <f aca="true" t="shared" si="12" ref="M101:M109">K101/L101</f>
        <v>0.007537141018588673</v>
      </c>
      <c r="N101" s="121">
        <v>278.39</v>
      </c>
      <c r="O101" s="121">
        <f aca="true" t="shared" si="13" ref="O101:O119">M101*N101</f>
        <v>2.0982646881649005</v>
      </c>
      <c r="P101" s="238">
        <f aca="true" t="shared" si="14" ref="P101:P119">M101*60*1000</f>
        <v>452.2284611153204</v>
      </c>
      <c r="Q101" s="123">
        <f aca="true" t="shared" si="15" ref="Q101:Q119">P101*N101/1000</f>
        <v>125.89588128989404</v>
      </c>
      <c r="S101" s="80"/>
      <c r="T101" s="80"/>
    </row>
    <row r="102" spans="1:20" ht="12.75">
      <c r="A102" s="1008"/>
      <c r="B102" s="31">
        <v>3</v>
      </c>
      <c r="C102" s="856" t="s">
        <v>171</v>
      </c>
      <c r="D102" s="31">
        <v>60</v>
      </c>
      <c r="E102" s="31">
        <v>1970</v>
      </c>
      <c r="F102" s="135">
        <v>40.1</v>
      </c>
      <c r="G102" s="135">
        <v>6.19446</v>
      </c>
      <c r="H102" s="135">
        <v>5.97</v>
      </c>
      <c r="I102" s="235">
        <f t="shared" si="10"/>
        <v>27.935540000000003</v>
      </c>
      <c r="J102" s="163">
        <v>3171</v>
      </c>
      <c r="K102" s="237">
        <f t="shared" si="11"/>
        <v>27.935540000000003</v>
      </c>
      <c r="L102" s="86">
        <f t="shared" si="11"/>
        <v>3171</v>
      </c>
      <c r="M102" s="122">
        <f t="shared" si="12"/>
        <v>0.008809694102806687</v>
      </c>
      <c r="N102" s="121">
        <v>278.39</v>
      </c>
      <c r="O102" s="121">
        <f t="shared" si="13"/>
        <v>2.4525307412803534</v>
      </c>
      <c r="P102" s="238">
        <f t="shared" si="14"/>
        <v>528.5816461684012</v>
      </c>
      <c r="Q102" s="123">
        <f t="shared" si="15"/>
        <v>147.15184447682122</v>
      </c>
      <c r="S102" s="80"/>
      <c r="T102" s="80"/>
    </row>
    <row r="103" spans="1:20" ht="12.75">
      <c r="A103" s="1008"/>
      <c r="B103" s="31">
        <v>4</v>
      </c>
      <c r="C103" s="856" t="s">
        <v>172</v>
      </c>
      <c r="D103" s="31">
        <v>114</v>
      </c>
      <c r="E103" s="31">
        <v>2010</v>
      </c>
      <c r="F103" s="135">
        <v>81.9595</v>
      </c>
      <c r="G103" s="135">
        <v>7.497</v>
      </c>
      <c r="H103" s="135">
        <v>4.27752</v>
      </c>
      <c r="I103" s="235">
        <f t="shared" si="10"/>
        <v>70.18498000000001</v>
      </c>
      <c r="J103" s="163">
        <v>7728.52</v>
      </c>
      <c r="K103" s="237">
        <f t="shared" si="11"/>
        <v>70.18498000000001</v>
      </c>
      <c r="L103" s="86">
        <f t="shared" si="11"/>
        <v>7728.52</v>
      </c>
      <c r="M103" s="122">
        <f t="shared" si="12"/>
        <v>0.00908129628958714</v>
      </c>
      <c r="N103" s="121">
        <v>278.39</v>
      </c>
      <c r="O103" s="121">
        <f t="shared" si="13"/>
        <v>2.528142074058164</v>
      </c>
      <c r="P103" s="238">
        <f t="shared" si="14"/>
        <v>544.8777773752283</v>
      </c>
      <c r="Q103" s="123">
        <f t="shared" si="15"/>
        <v>151.68852444348983</v>
      </c>
      <c r="S103" s="80"/>
      <c r="T103" s="80"/>
    </row>
    <row r="104" spans="1:20" ht="12.75">
      <c r="A104" s="1008"/>
      <c r="B104" s="31">
        <v>5</v>
      </c>
      <c r="C104" s="856" t="s">
        <v>173</v>
      </c>
      <c r="D104" s="31">
        <v>40</v>
      </c>
      <c r="E104" s="31">
        <v>2004</v>
      </c>
      <c r="F104" s="135">
        <v>41.97</v>
      </c>
      <c r="G104" s="135">
        <v>9.575</v>
      </c>
      <c r="H104" s="135"/>
      <c r="I104" s="235">
        <f t="shared" si="10"/>
        <v>32.394999999999996</v>
      </c>
      <c r="J104" s="163">
        <v>3182.5</v>
      </c>
      <c r="K104" s="237">
        <f t="shared" si="11"/>
        <v>32.394999999999996</v>
      </c>
      <c r="L104" s="86">
        <f t="shared" si="11"/>
        <v>3182.5</v>
      </c>
      <c r="M104" s="122">
        <f t="shared" si="12"/>
        <v>0.01017910447761194</v>
      </c>
      <c r="N104" s="121">
        <v>278.39</v>
      </c>
      <c r="O104" s="121">
        <f t="shared" si="13"/>
        <v>2.8337608955223876</v>
      </c>
      <c r="P104" s="238">
        <f t="shared" si="14"/>
        <v>610.7462686567163</v>
      </c>
      <c r="Q104" s="123">
        <f t="shared" si="15"/>
        <v>170.02565373134325</v>
      </c>
      <c r="S104" s="80"/>
      <c r="T104" s="80"/>
    </row>
    <row r="105" spans="1:20" ht="12.75">
      <c r="A105" s="1008"/>
      <c r="B105" s="31">
        <v>6</v>
      </c>
      <c r="C105" s="856" t="s">
        <v>174</v>
      </c>
      <c r="D105" s="31">
        <v>23</v>
      </c>
      <c r="E105" s="31">
        <v>2007</v>
      </c>
      <c r="F105" s="135">
        <v>26.608</v>
      </c>
      <c r="G105" s="135">
        <v>3.62</v>
      </c>
      <c r="H105" s="135"/>
      <c r="I105" s="235">
        <f t="shared" si="10"/>
        <v>22.988</v>
      </c>
      <c r="J105" s="163">
        <v>2089.01</v>
      </c>
      <c r="K105" s="237">
        <f t="shared" si="11"/>
        <v>22.988</v>
      </c>
      <c r="L105" s="86">
        <f t="shared" si="11"/>
        <v>2089.01</v>
      </c>
      <c r="M105" s="122">
        <f t="shared" si="12"/>
        <v>0.011004255604329322</v>
      </c>
      <c r="N105" s="121">
        <v>278.39</v>
      </c>
      <c r="O105" s="121">
        <f t="shared" si="13"/>
        <v>3.06347471768924</v>
      </c>
      <c r="P105" s="238">
        <f t="shared" si="14"/>
        <v>660.2553362597592</v>
      </c>
      <c r="Q105" s="123">
        <f t="shared" si="15"/>
        <v>183.80848306135437</v>
      </c>
      <c r="S105" s="80"/>
      <c r="T105" s="80"/>
    </row>
    <row r="106" spans="1:20" ht="12.75">
      <c r="A106" s="1008"/>
      <c r="B106" s="31">
        <v>7</v>
      </c>
      <c r="C106" s="856" t="s">
        <v>175</v>
      </c>
      <c r="D106" s="31">
        <v>45</v>
      </c>
      <c r="E106" s="31">
        <v>2011</v>
      </c>
      <c r="F106" s="135">
        <v>36.604</v>
      </c>
      <c r="G106" s="135">
        <v>3.927</v>
      </c>
      <c r="H106" s="135">
        <v>2.732</v>
      </c>
      <c r="I106" s="235">
        <f t="shared" si="10"/>
        <v>29.945</v>
      </c>
      <c r="J106" s="163">
        <v>2504.31</v>
      </c>
      <c r="K106" s="237">
        <f t="shared" si="11"/>
        <v>29.945</v>
      </c>
      <c r="L106" s="86">
        <f t="shared" si="11"/>
        <v>2504.31</v>
      </c>
      <c r="M106" s="122">
        <f t="shared" si="12"/>
        <v>0.01195738546745411</v>
      </c>
      <c r="N106" s="121">
        <v>278.39</v>
      </c>
      <c r="O106" s="121">
        <f t="shared" si="13"/>
        <v>3.3288165402845493</v>
      </c>
      <c r="P106" s="238">
        <f t="shared" si="14"/>
        <v>717.4431280472465</v>
      </c>
      <c r="Q106" s="123">
        <f t="shared" si="15"/>
        <v>199.72899241707296</v>
      </c>
      <c r="S106" s="80"/>
      <c r="T106" s="80"/>
    </row>
    <row r="107" spans="1:20" ht="12.75">
      <c r="A107" s="1008"/>
      <c r="B107" s="31">
        <v>8</v>
      </c>
      <c r="C107" s="856" t="s">
        <v>176</v>
      </c>
      <c r="D107" s="31">
        <v>35</v>
      </c>
      <c r="E107" s="31">
        <v>1997</v>
      </c>
      <c r="F107" s="135">
        <v>40.722</v>
      </c>
      <c r="G107" s="135">
        <v>9.33399</v>
      </c>
      <c r="H107" s="135">
        <v>3.44</v>
      </c>
      <c r="I107" s="235">
        <f t="shared" si="10"/>
        <v>27.94801</v>
      </c>
      <c r="J107" s="163">
        <v>2223.4</v>
      </c>
      <c r="K107" s="237">
        <f t="shared" si="11"/>
        <v>27.94801</v>
      </c>
      <c r="L107" s="86">
        <f t="shared" si="11"/>
        <v>2223.4</v>
      </c>
      <c r="M107" s="122">
        <f t="shared" si="12"/>
        <v>0.012569942430511828</v>
      </c>
      <c r="N107" s="121">
        <v>278.39</v>
      </c>
      <c r="O107" s="121">
        <f t="shared" si="13"/>
        <v>3.499346273230188</v>
      </c>
      <c r="P107" s="238">
        <f t="shared" si="14"/>
        <v>754.1965458307097</v>
      </c>
      <c r="Q107" s="123">
        <f t="shared" si="15"/>
        <v>209.96077639381127</v>
      </c>
      <c r="S107" s="80"/>
      <c r="T107" s="80"/>
    </row>
    <row r="108" spans="1:20" ht="12.75">
      <c r="A108" s="1008"/>
      <c r="B108" s="31">
        <v>9</v>
      </c>
      <c r="C108" s="856" t="s">
        <v>177</v>
      </c>
      <c r="D108" s="31">
        <v>59</v>
      </c>
      <c r="E108" s="31">
        <v>1981</v>
      </c>
      <c r="F108" s="135">
        <v>58.6</v>
      </c>
      <c r="G108" s="135">
        <v>10.79398</v>
      </c>
      <c r="H108" s="135">
        <v>5.9</v>
      </c>
      <c r="I108" s="235">
        <f t="shared" si="10"/>
        <v>41.906020000000005</v>
      </c>
      <c r="J108" s="163">
        <v>3073.02</v>
      </c>
      <c r="K108" s="237">
        <f t="shared" si="11"/>
        <v>41.906020000000005</v>
      </c>
      <c r="L108" s="86">
        <f t="shared" si="11"/>
        <v>3073.02</v>
      </c>
      <c r="M108" s="122">
        <f t="shared" si="12"/>
        <v>0.013636754723366592</v>
      </c>
      <c r="N108" s="121">
        <v>278.39</v>
      </c>
      <c r="O108" s="121">
        <f t="shared" si="13"/>
        <v>3.796336147438025</v>
      </c>
      <c r="P108" s="238">
        <f t="shared" si="14"/>
        <v>818.2052834019955</v>
      </c>
      <c r="Q108" s="123">
        <f t="shared" si="15"/>
        <v>227.78016884628153</v>
      </c>
      <c r="S108" s="80"/>
      <c r="T108" s="80"/>
    </row>
    <row r="109" spans="1:20" ht="12.75" customHeight="1" thickBot="1">
      <c r="A109" s="1009"/>
      <c r="B109" s="57">
        <v>10</v>
      </c>
      <c r="C109" s="857" t="s">
        <v>178</v>
      </c>
      <c r="D109" s="57">
        <v>50</v>
      </c>
      <c r="E109" s="57">
        <v>1974</v>
      </c>
      <c r="F109" s="203">
        <v>49.64811</v>
      </c>
      <c r="G109" s="203">
        <v>6.72587</v>
      </c>
      <c r="H109" s="203">
        <v>4.94</v>
      </c>
      <c r="I109" s="633">
        <f t="shared" si="10"/>
        <v>37.982240000000004</v>
      </c>
      <c r="J109" s="311">
        <v>2614.73</v>
      </c>
      <c r="K109" s="779">
        <f t="shared" si="11"/>
        <v>37.982240000000004</v>
      </c>
      <c r="L109" s="742">
        <f t="shared" si="11"/>
        <v>2614.73</v>
      </c>
      <c r="M109" s="125">
        <f t="shared" si="12"/>
        <v>0.01452625701315241</v>
      </c>
      <c r="N109" s="124">
        <v>278.39</v>
      </c>
      <c r="O109" s="425">
        <f t="shared" si="13"/>
        <v>4.043964689891499</v>
      </c>
      <c r="P109" s="124">
        <f t="shared" si="14"/>
        <v>871.5754207891446</v>
      </c>
      <c r="Q109" s="126">
        <f t="shared" si="15"/>
        <v>242.63788139348995</v>
      </c>
      <c r="S109" s="80"/>
      <c r="T109" s="80"/>
    </row>
    <row r="110" spans="1:20" ht="12.75" customHeight="1">
      <c r="A110" s="1010" t="s">
        <v>33</v>
      </c>
      <c r="B110" s="33">
        <v>1</v>
      </c>
      <c r="C110" s="858" t="s">
        <v>179</v>
      </c>
      <c r="D110" s="33">
        <v>45</v>
      </c>
      <c r="E110" s="33">
        <v>1986</v>
      </c>
      <c r="F110" s="247">
        <v>55.3</v>
      </c>
      <c r="G110" s="247">
        <v>5.48777</v>
      </c>
      <c r="H110" s="247">
        <v>4.5</v>
      </c>
      <c r="I110" s="247">
        <f t="shared" si="10"/>
        <v>45.31223</v>
      </c>
      <c r="J110" s="397">
        <v>2939.75</v>
      </c>
      <c r="K110" s="405">
        <f t="shared" si="11"/>
        <v>45.31223</v>
      </c>
      <c r="L110" s="397">
        <f t="shared" si="11"/>
        <v>2939.75</v>
      </c>
      <c r="M110" s="405">
        <f>K110/L110</f>
        <v>0.015413633812399014</v>
      </c>
      <c r="N110" s="249">
        <v>278.39</v>
      </c>
      <c r="O110" s="249">
        <f t="shared" si="13"/>
        <v>4.291001517033761</v>
      </c>
      <c r="P110" s="249">
        <f t="shared" si="14"/>
        <v>924.8180287439408</v>
      </c>
      <c r="Q110" s="406">
        <f t="shared" si="15"/>
        <v>257.46009102202567</v>
      </c>
      <c r="S110" s="80"/>
      <c r="T110" s="80"/>
    </row>
    <row r="111" spans="1:20" ht="12.75">
      <c r="A111" s="1011"/>
      <c r="B111" s="35">
        <v>2</v>
      </c>
      <c r="C111" s="849" t="s">
        <v>180</v>
      </c>
      <c r="D111" s="35">
        <v>60</v>
      </c>
      <c r="E111" s="35">
        <v>1980</v>
      </c>
      <c r="F111" s="248">
        <v>66.2</v>
      </c>
      <c r="G111" s="248">
        <v>7.14</v>
      </c>
      <c r="H111" s="248">
        <v>6</v>
      </c>
      <c r="I111" s="252">
        <f t="shared" si="10"/>
        <v>53.06</v>
      </c>
      <c r="J111" s="110">
        <v>3156.65</v>
      </c>
      <c r="K111" s="136">
        <f t="shared" si="11"/>
        <v>53.06</v>
      </c>
      <c r="L111" s="113">
        <f t="shared" si="11"/>
        <v>3156.65</v>
      </c>
      <c r="M111" s="136">
        <f>K111/L111</f>
        <v>0.01680895886461914</v>
      </c>
      <c r="N111" s="127">
        <v>278.39</v>
      </c>
      <c r="O111" s="137">
        <f t="shared" si="13"/>
        <v>4.6794460583213215</v>
      </c>
      <c r="P111" s="137">
        <f t="shared" si="14"/>
        <v>1008.5375318771484</v>
      </c>
      <c r="Q111" s="157">
        <f t="shared" si="15"/>
        <v>280.7667634992793</v>
      </c>
      <c r="S111" s="80"/>
      <c r="T111" s="80"/>
    </row>
    <row r="112" spans="1:20" ht="12.75">
      <c r="A112" s="1011"/>
      <c r="B112" s="35">
        <v>3</v>
      </c>
      <c r="C112" s="849" t="s">
        <v>181</v>
      </c>
      <c r="D112" s="35">
        <v>60</v>
      </c>
      <c r="E112" s="35">
        <v>1965</v>
      </c>
      <c r="F112" s="248">
        <v>52.65059</v>
      </c>
      <c r="G112" s="248">
        <v>10.50906</v>
      </c>
      <c r="H112" s="248">
        <v>0.6</v>
      </c>
      <c r="I112" s="252">
        <f t="shared" si="10"/>
        <v>41.54153</v>
      </c>
      <c r="J112" s="110">
        <v>2380.76</v>
      </c>
      <c r="K112" s="136">
        <f t="shared" si="11"/>
        <v>41.54153</v>
      </c>
      <c r="L112" s="113">
        <f t="shared" si="11"/>
        <v>2380.76</v>
      </c>
      <c r="M112" s="128">
        <f aca="true" t="shared" si="16" ref="M112:M119">K112/L112</f>
        <v>0.017448852467279355</v>
      </c>
      <c r="N112" s="127">
        <v>278.39</v>
      </c>
      <c r="O112" s="137">
        <f t="shared" si="13"/>
        <v>4.857586038365899</v>
      </c>
      <c r="P112" s="137">
        <f t="shared" si="14"/>
        <v>1046.9311480367614</v>
      </c>
      <c r="Q112" s="155">
        <f t="shared" si="15"/>
        <v>291.455162301954</v>
      </c>
      <c r="S112" s="80"/>
      <c r="T112" s="80"/>
    </row>
    <row r="113" spans="1:20" ht="12.75">
      <c r="A113" s="1011"/>
      <c r="B113" s="35">
        <v>4</v>
      </c>
      <c r="C113" s="849" t="s">
        <v>182</v>
      </c>
      <c r="D113" s="35">
        <v>90</v>
      </c>
      <c r="E113" s="35">
        <v>1980</v>
      </c>
      <c r="F113" s="248">
        <v>89.301</v>
      </c>
      <c r="G113" s="248">
        <v>8.99521</v>
      </c>
      <c r="H113" s="248">
        <v>8.21</v>
      </c>
      <c r="I113" s="252">
        <f t="shared" si="10"/>
        <v>72.09579</v>
      </c>
      <c r="J113" s="110">
        <v>3909.12</v>
      </c>
      <c r="K113" s="136">
        <f t="shared" si="11"/>
        <v>72.09579</v>
      </c>
      <c r="L113" s="113">
        <f t="shared" si="11"/>
        <v>3909.12</v>
      </c>
      <c r="M113" s="128">
        <f t="shared" si="16"/>
        <v>0.018442971819744598</v>
      </c>
      <c r="N113" s="127">
        <v>278.39</v>
      </c>
      <c r="O113" s="127">
        <f t="shared" si="13"/>
        <v>5.134338924898699</v>
      </c>
      <c r="P113" s="137">
        <f t="shared" si="14"/>
        <v>1106.5783091846758</v>
      </c>
      <c r="Q113" s="155">
        <f t="shared" si="15"/>
        <v>308.0603354939219</v>
      </c>
      <c r="S113" s="80"/>
      <c r="T113" s="80"/>
    </row>
    <row r="114" spans="1:20" ht="12.75">
      <c r="A114" s="1011"/>
      <c r="B114" s="35">
        <v>5</v>
      </c>
      <c r="C114" s="849" t="s">
        <v>183</v>
      </c>
      <c r="D114" s="35">
        <v>20</v>
      </c>
      <c r="E114" s="35">
        <v>1995</v>
      </c>
      <c r="F114" s="248">
        <v>25.7</v>
      </c>
      <c r="G114" s="248">
        <v>2.10534</v>
      </c>
      <c r="H114" s="248">
        <v>2</v>
      </c>
      <c r="I114" s="252">
        <f t="shared" si="10"/>
        <v>21.594659999999998</v>
      </c>
      <c r="J114" s="110">
        <v>1094.74</v>
      </c>
      <c r="K114" s="136">
        <f t="shared" si="11"/>
        <v>21.594659999999998</v>
      </c>
      <c r="L114" s="113">
        <f t="shared" si="11"/>
        <v>1094.74</v>
      </c>
      <c r="M114" s="128">
        <f t="shared" si="16"/>
        <v>0.01972583444470833</v>
      </c>
      <c r="N114" s="127">
        <v>278.39</v>
      </c>
      <c r="O114" s="127">
        <f t="shared" si="13"/>
        <v>5.491475051062352</v>
      </c>
      <c r="P114" s="137">
        <f t="shared" si="14"/>
        <v>1183.5500666824998</v>
      </c>
      <c r="Q114" s="155">
        <f t="shared" si="15"/>
        <v>329.4885030637411</v>
      </c>
      <c r="S114" s="80"/>
      <c r="T114" s="80"/>
    </row>
    <row r="115" spans="1:20" ht="12.75">
      <c r="A115" s="1011"/>
      <c r="B115" s="35">
        <v>6</v>
      </c>
      <c r="C115" s="849" t="s">
        <v>184</v>
      </c>
      <c r="D115" s="35">
        <v>40</v>
      </c>
      <c r="E115" s="35">
        <v>1994</v>
      </c>
      <c r="F115" s="248">
        <v>64.11444</v>
      </c>
      <c r="G115" s="248">
        <v>9.51322</v>
      </c>
      <c r="H115" s="248">
        <v>5.6</v>
      </c>
      <c r="I115" s="252">
        <f t="shared" si="10"/>
        <v>49.001219999999996</v>
      </c>
      <c r="J115" s="110">
        <v>2417.41</v>
      </c>
      <c r="K115" s="136">
        <f t="shared" si="11"/>
        <v>49.001219999999996</v>
      </c>
      <c r="L115" s="113">
        <f t="shared" si="11"/>
        <v>2417.41</v>
      </c>
      <c r="M115" s="128">
        <f t="shared" si="16"/>
        <v>0.020270132083510865</v>
      </c>
      <c r="N115" s="127">
        <v>278.39</v>
      </c>
      <c r="O115" s="127">
        <f t="shared" si="13"/>
        <v>5.643002070728589</v>
      </c>
      <c r="P115" s="137">
        <f t="shared" si="14"/>
        <v>1216.207925010652</v>
      </c>
      <c r="Q115" s="155">
        <f t="shared" si="15"/>
        <v>338.5801242437154</v>
      </c>
      <c r="S115" s="80"/>
      <c r="T115" s="80"/>
    </row>
    <row r="116" spans="1:20" ht="12.75">
      <c r="A116" s="1011"/>
      <c r="B116" s="35">
        <v>7</v>
      </c>
      <c r="C116" s="849" t="s">
        <v>185</v>
      </c>
      <c r="D116" s="35">
        <v>73</v>
      </c>
      <c r="E116" s="35">
        <v>1988</v>
      </c>
      <c r="F116" s="248">
        <v>125.20923</v>
      </c>
      <c r="G116" s="248">
        <v>14.18209</v>
      </c>
      <c r="H116" s="248">
        <v>10.808</v>
      </c>
      <c r="I116" s="252">
        <f t="shared" si="10"/>
        <v>100.21914000000001</v>
      </c>
      <c r="J116" s="110">
        <v>4778.01</v>
      </c>
      <c r="K116" s="136">
        <f t="shared" si="11"/>
        <v>100.21914000000001</v>
      </c>
      <c r="L116" s="113">
        <f t="shared" si="11"/>
        <v>4778.01</v>
      </c>
      <c r="M116" s="128">
        <f t="shared" si="16"/>
        <v>0.02097507958334118</v>
      </c>
      <c r="N116" s="127">
        <v>278.39</v>
      </c>
      <c r="O116" s="127">
        <f t="shared" si="13"/>
        <v>5.839252405206351</v>
      </c>
      <c r="P116" s="137">
        <f t="shared" si="14"/>
        <v>1258.504775000471</v>
      </c>
      <c r="Q116" s="155">
        <f t="shared" si="15"/>
        <v>350.3551443123811</v>
      </c>
      <c r="S116" s="80"/>
      <c r="T116" s="80"/>
    </row>
    <row r="117" spans="1:20" ht="12.75">
      <c r="A117" s="1011"/>
      <c r="B117" s="35">
        <v>8</v>
      </c>
      <c r="C117" s="849" t="s">
        <v>186</v>
      </c>
      <c r="D117" s="35">
        <v>30</v>
      </c>
      <c r="E117" s="35">
        <v>1992</v>
      </c>
      <c r="F117" s="248">
        <v>54.17672</v>
      </c>
      <c r="G117" s="248">
        <v>6.18275</v>
      </c>
      <c r="H117" s="248">
        <v>4.2</v>
      </c>
      <c r="I117" s="252">
        <f t="shared" si="10"/>
        <v>43.79397</v>
      </c>
      <c r="J117" s="110">
        <v>1980.3</v>
      </c>
      <c r="K117" s="136">
        <f t="shared" si="11"/>
        <v>43.79397</v>
      </c>
      <c r="L117" s="113">
        <f t="shared" si="11"/>
        <v>1980.3</v>
      </c>
      <c r="M117" s="128">
        <f t="shared" si="16"/>
        <v>0.022114815936979247</v>
      </c>
      <c r="N117" s="127">
        <v>278.39</v>
      </c>
      <c r="O117" s="127">
        <f t="shared" si="13"/>
        <v>6.156543608695652</v>
      </c>
      <c r="P117" s="137">
        <f t="shared" si="14"/>
        <v>1326.8889562187549</v>
      </c>
      <c r="Q117" s="155">
        <f t="shared" si="15"/>
        <v>369.39261652173917</v>
      </c>
      <c r="S117" s="80"/>
      <c r="T117" s="80"/>
    </row>
    <row r="118" spans="1:20" ht="12.75">
      <c r="A118" s="1011"/>
      <c r="B118" s="60">
        <v>9</v>
      </c>
      <c r="C118" s="849" t="s">
        <v>187</v>
      </c>
      <c r="D118" s="35">
        <v>36</v>
      </c>
      <c r="E118" s="35">
        <v>1981</v>
      </c>
      <c r="F118" s="248">
        <v>58.65502</v>
      </c>
      <c r="G118" s="248">
        <v>3.73794</v>
      </c>
      <c r="H118" s="248">
        <v>3.6</v>
      </c>
      <c r="I118" s="252">
        <f t="shared" si="10"/>
        <v>51.31708</v>
      </c>
      <c r="J118" s="110">
        <v>2280.25</v>
      </c>
      <c r="K118" s="136">
        <f t="shared" si="11"/>
        <v>51.31708</v>
      </c>
      <c r="L118" s="113">
        <f t="shared" si="11"/>
        <v>2280.25</v>
      </c>
      <c r="M118" s="128">
        <f t="shared" si="16"/>
        <v>0.022505023571976757</v>
      </c>
      <c r="N118" s="127">
        <v>278.39</v>
      </c>
      <c r="O118" s="127">
        <f t="shared" si="13"/>
        <v>6.265173512202609</v>
      </c>
      <c r="P118" s="137">
        <f t="shared" si="14"/>
        <v>1350.3014143186053</v>
      </c>
      <c r="Q118" s="155">
        <f t="shared" si="15"/>
        <v>375.91041073215655</v>
      </c>
      <c r="S118" s="80"/>
      <c r="T118" s="80"/>
    </row>
    <row r="119" spans="1:20" ht="13.5" thickBot="1">
      <c r="A119" s="1012"/>
      <c r="B119" s="83">
        <v>10</v>
      </c>
      <c r="C119" s="850" t="s">
        <v>188</v>
      </c>
      <c r="D119" s="37">
        <v>90</v>
      </c>
      <c r="E119" s="37">
        <v>1967</v>
      </c>
      <c r="F119" s="250">
        <v>108.7194</v>
      </c>
      <c r="G119" s="250">
        <v>12.60173</v>
      </c>
      <c r="H119" s="250">
        <v>8.97</v>
      </c>
      <c r="I119" s="356">
        <f t="shared" si="10"/>
        <v>87.14766999999999</v>
      </c>
      <c r="J119" s="171">
        <v>3790.57</v>
      </c>
      <c r="K119" s="355">
        <f t="shared" si="11"/>
        <v>87.14766999999999</v>
      </c>
      <c r="L119" s="354">
        <f t="shared" si="11"/>
        <v>3790.57</v>
      </c>
      <c r="M119" s="205">
        <f t="shared" si="16"/>
        <v>0.02299065048264509</v>
      </c>
      <c r="N119" s="158">
        <v>278.39</v>
      </c>
      <c r="O119" s="158">
        <f t="shared" si="13"/>
        <v>6.400367187863566</v>
      </c>
      <c r="P119" s="158">
        <f t="shared" si="14"/>
        <v>1379.4390289587052</v>
      </c>
      <c r="Q119" s="159">
        <f t="shared" si="15"/>
        <v>384.0220312718139</v>
      </c>
      <c r="S119" s="80"/>
      <c r="T119" s="80"/>
    </row>
    <row r="120" spans="1:20" ht="12.75">
      <c r="A120" s="1013" t="s">
        <v>47</v>
      </c>
      <c r="B120" s="218">
        <v>1</v>
      </c>
      <c r="C120" s="851" t="s">
        <v>189</v>
      </c>
      <c r="D120" s="218">
        <v>10</v>
      </c>
      <c r="E120" s="218">
        <v>1988</v>
      </c>
      <c r="F120" s="389">
        <v>64.51452</v>
      </c>
      <c r="G120" s="389">
        <v>8.40499</v>
      </c>
      <c r="H120" s="389">
        <v>4</v>
      </c>
      <c r="I120" s="389">
        <f t="shared" si="10"/>
        <v>52.10953000000001</v>
      </c>
      <c r="J120" s="399">
        <v>2247.76</v>
      </c>
      <c r="K120" s="409">
        <f t="shared" si="11"/>
        <v>52.10953000000001</v>
      </c>
      <c r="L120" s="399">
        <f t="shared" si="11"/>
        <v>2247.76</v>
      </c>
      <c r="M120" s="409">
        <f>K120/L120</f>
        <v>0.0231828709470762</v>
      </c>
      <c r="N120" s="390">
        <v>278.39</v>
      </c>
      <c r="O120" s="390">
        <f>M120*N120</f>
        <v>6.453879442956543</v>
      </c>
      <c r="P120" s="390">
        <f>M120*60*1000</f>
        <v>1390.972256824572</v>
      </c>
      <c r="Q120" s="410">
        <f>P120*N120/1000</f>
        <v>387.23276657739257</v>
      </c>
      <c r="S120" s="80"/>
      <c r="T120" s="80"/>
    </row>
    <row r="121" spans="1:20" ht="12.75" customHeight="1">
      <c r="A121" s="1014"/>
      <c r="B121" s="219">
        <v>2</v>
      </c>
      <c r="C121" s="852" t="s">
        <v>190</v>
      </c>
      <c r="D121" s="219">
        <v>35</v>
      </c>
      <c r="E121" s="219">
        <v>1992</v>
      </c>
      <c r="F121" s="270">
        <v>63.7</v>
      </c>
      <c r="G121" s="270">
        <v>7.51618</v>
      </c>
      <c r="H121" s="270">
        <v>3.5</v>
      </c>
      <c r="I121" s="325">
        <f t="shared" si="10"/>
        <v>52.683820000000004</v>
      </c>
      <c r="J121" s="261">
        <v>2248.5</v>
      </c>
      <c r="K121" s="268">
        <f t="shared" si="11"/>
        <v>52.683820000000004</v>
      </c>
      <c r="L121" s="331">
        <f t="shared" si="11"/>
        <v>2248.5</v>
      </c>
      <c r="M121" s="272">
        <f aca="true" t="shared" si="17" ref="M121:M129">K121/L121</f>
        <v>0.023430651545474763</v>
      </c>
      <c r="N121" s="271">
        <v>278.39</v>
      </c>
      <c r="O121" s="271">
        <f aca="true" t="shared" si="18" ref="O121:O129">M121*N121</f>
        <v>6.522859083744719</v>
      </c>
      <c r="P121" s="267">
        <f aca="true" t="shared" si="19" ref="P121:P129">M121*60*1000</f>
        <v>1405.8390927284859</v>
      </c>
      <c r="Q121" s="273">
        <f aca="true" t="shared" si="20" ref="Q121:Q129">P121*N121/1000</f>
        <v>391.3715450246832</v>
      </c>
      <c r="S121" s="80"/>
      <c r="T121" s="80"/>
    </row>
    <row r="122" spans="1:20" ht="12.75" customHeight="1">
      <c r="A122" s="1014"/>
      <c r="B122" s="219">
        <v>3</v>
      </c>
      <c r="C122" s="852" t="s">
        <v>191</v>
      </c>
      <c r="D122" s="219">
        <v>40</v>
      </c>
      <c r="E122" s="219">
        <v>1978</v>
      </c>
      <c r="F122" s="270">
        <v>65.89</v>
      </c>
      <c r="G122" s="270">
        <v>7.95514</v>
      </c>
      <c r="H122" s="270">
        <v>4</v>
      </c>
      <c r="I122" s="325">
        <f t="shared" si="10"/>
        <v>53.93486</v>
      </c>
      <c r="J122" s="261">
        <v>2227.94</v>
      </c>
      <c r="K122" s="268">
        <f t="shared" si="11"/>
        <v>53.93486</v>
      </c>
      <c r="L122" s="331">
        <f t="shared" si="11"/>
        <v>2227.94</v>
      </c>
      <c r="M122" s="272">
        <f t="shared" si="17"/>
        <v>0.024208398789913554</v>
      </c>
      <c r="N122" s="271">
        <v>278.39</v>
      </c>
      <c r="O122" s="271">
        <f t="shared" si="18"/>
        <v>6.739376139124034</v>
      </c>
      <c r="P122" s="267">
        <f t="shared" si="19"/>
        <v>1452.5039273948132</v>
      </c>
      <c r="Q122" s="273">
        <f t="shared" si="20"/>
        <v>404.36256834744205</v>
      </c>
      <c r="S122" s="80"/>
      <c r="T122" s="80"/>
    </row>
    <row r="123" spans="1:20" ht="12.75" customHeight="1">
      <c r="A123" s="1014"/>
      <c r="B123" s="219">
        <v>4</v>
      </c>
      <c r="C123" s="852" t="s">
        <v>192</v>
      </c>
      <c r="D123" s="219">
        <v>60</v>
      </c>
      <c r="E123" s="219">
        <v>1964</v>
      </c>
      <c r="F123" s="270">
        <v>65.76217</v>
      </c>
      <c r="G123" s="270">
        <v>4.77853</v>
      </c>
      <c r="H123" s="270">
        <v>0.6</v>
      </c>
      <c r="I123" s="325">
        <f t="shared" si="10"/>
        <v>60.38363999999999</v>
      </c>
      <c r="J123" s="261">
        <v>2415.49</v>
      </c>
      <c r="K123" s="268">
        <f t="shared" si="11"/>
        <v>60.38363999999999</v>
      </c>
      <c r="L123" s="331">
        <f t="shared" si="11"/>
        <v>2415.49</v>
      </c>
      <c r="M123" s="272">
        <f t="shared" si="17"/>
        <v>0.024998505479219536</v>
      </c>
      <c r="N123" s="271">
        <v>278.39</v>
      </c>
      <c r="O123" s="271">
        <f t="shared" si="18"/>
        <v>6.959333940359927</v>
      </c>
      <c r="P123" s="267">
        <f t="shared" si="19"/>
        <v>1499.910328753172</v>
      </c>
      <c r="Q123" s="273">
        <f t="shared" si="20"/>
        <v>417.56003642159556</v>
      </c>
      <c r="S123" s="80"/>
      <c r="T123" s="80"/>
    </row>
    <row r="124" spans="1:20" ht="12.75" customHeight="1">
      <c r="A124" s="1014"/>
      <c r="B124" s="219">
        <v>5</v>
      </c>
      <c r="C124" s="852" t="s">
        <v>193</v>
      </c>
      <c r="D124" s="219">
        <v>85</v>
      </c>
      <c r="E124" s="219">
        <v>1966</v>
      </c>
      <c r="F124" s="270">
        <v>125.94157</v>
      </c>
      <c r="G124" s="270">
        <v>16.32619</v>
      </c>
      <c r="H124" s="270">
        <v>8.5</v>
      </c>
      <c r="I124" s="325">
        <f t="shared" si="10"/>
        <v>101.11538</v>
      </c>
      <c r="J124" s="261">
        <v>3830.47</v>
      </c>
      <c r="K124" s="268">
        <f t="shared" si="11"/>
        <v>101.11538</v>
      </c>
      <c r="L124" s="331">
        <f t="shared" si="11"/>
        <v>3830.47</v>
      </c>
      <c r="M124" s="272">
        <f t="shared" si="17"/>
        <v>0.026397643109070168</v>
      </c>
      <c r="N124" s="271">
        <v>278.39</v>
      </c>
      <c r="O124" s="271">
        <f t="shared" si="18"/>
        <v>7.348839865134043</v>
      </c>
      <c r="P124" s="267">
        <f t="shared" si="19"/>
        <v>1583.85858654421</v>
      </c>
      <c r="Q124" s="273">
        <f t="shared" si="20"/>
        <v>440.9303919080426</v>
      </c>
      <c r="S124" s="80"/>
      <c r="T124" s="80"/>
    </row>
    <row r="125" spans="1:20" ht="12.75" customHeight="1">
      <c r="A125" s="1014"/>
      <c r="B125" s="219">
        <v>6</v>
      </c>
      <c r="C125" s="852" t="s">
        <v>194</v>
      </c>
      <c r="D125" s="219">
        <v>40</v>
      </c>
      <c r="E125" s="219">
        <v>1981</v>
      </c>
      <c r="F125" s="270">
        <v>51.8676</v>
      </c>
      <c r="G125" s="270">
        <v>3.1759</v>
      </c>
      <c r="H125" s="270">
        <v>0.4</v>
      </c>
      <c r="I125" s="325">
        <f t="shared" si="10"/>
        <v>48.291700000000006</v>
      </c>
      <c r="J125" s="261">
        <v>1769.68</v>
      </c>
      <c r="K125" s="268">
        <f t="shared" si="11"/>
        <v>48.291700000000006</v>
      </c>
      <c r="L125" s="331">
        <f t="shared" si="11"/>
        <v>1769.68</v>
      </c>
      <c r="M125" s="272">
        <f t="shared" si="17"/>
        <v>0.02728837982008047</v>
      </c>
      <c r="N125" s="271">
        <v>278.39</v>
      </c>
      <c r="O125" s="271">
        <f t="shared" si="18"/>
        <v>7.596812058112202</v>
      </c>
      <c r="P125" s="267">
        <f t="shared" si="19"/>
        <v>1637.3027892048283</v>
      </c>
      <c r="Q125" s="273">
        <f t="shared" si="20"/>
        <v>455.8087234867321</v>
      </c>
      <c r="S125" s="80"/>
      <c r="T125" s="80"/>
    </row>
    <row r="126" spans="1:20" ht="13.5" customHeight="1">
      <c r="A126" s="1014"/>
      <c r="B126" s="219">
        <v>7</v>
      </c>
      <c r="C126" s="852" t="s">
        <v>195</v>
      </c>
      <c r="D126" s="219">
        <v>6</v>
      </c>
      <c r="E126" s="219">
        <v>1934</v>
      </c>
      <c r="F126" s="270">
        <v>16.12</v>
      </c>
      <c r="G126" s="270">
        <v>0.5870916</v>
      </c>
      <c r="H126" s="270"/>
      <c r="I126" s="325">
        <f t="shared" si="10"/>
        <v>15.5329084</v>
      </c>
      <c r="J126" s="261">
        <v>554.62</v>
      </c>
      <c r="K126" s="268">
        <f t="shared" si="11"/>
        <v>15.5329084</v>
      </c>
      <c r="L126" s="331">
        <f t="shared" si="11"/>
        <v>554.62</v>
      </c>
      <c r="M126" s="272">
        <f t="shared" si="17"/>
        <v>0.028006397894053587</v>
      </c>
      <c r="N126" s="271">
        <v>278.39</v>
      </c>
      <c r="O126" s="271">
        <f t="shared" si="18"/>
        <v>7.796701109725578</v>
      </c>
      <c r="P126" s="267">
        <f t="shared" si="19"/>
        <v>1680.3838736432153</v>
      </c>
      <c r="Q126" s="273">
        <f t="shared" si="20"/>
        <v>467.8020665835347</v>
      </c>
      <c r="S126" s="80"/>
      <c r="T126" s="80"/>
    </row>
    <row r="127" spans="1:20" ht="12.75" customHeight="1">
      <c r="A127" s="1014"/>
      <c r="B127" s="262">
        <v>8</v>
      </c>
      <c r="C127" s="852" t="s">
        <v>196</v>
      </c>
      <c r="D127" s="219">
        <v>48</v>
      </c>
      <c r="E127" s="219">
        <v>1960</v>
      </c>
      <c r="F127" s="270">
        <v>62.51776</v>
      </c>
      <c r="G127" s="270">
        <v>5.61836</v>
      </c>
      <c r="H127" s="270">
        <v>0.48</v>
      </c>
      <c r="I127" s="325">
        <f t="shared" si="10"/>
        <v>56.4194</v>
      </c>
      <c r="J127" s="261">
        <v>1935.67</v>
      </c>
      <c r="K127" s="268">
        <f t="shared" si="11"/>
        <v>56.4194</v>
      </c>
      <c r="L127" s="331">
        <f t="shared" si="11"/>
        <v>1935.67</v>
      </c>
      <c r="M127" s="272">
        <f t="shared" si="17"/>
        <v>0.029147220342310414</v>
      </c>
      <c r="N127" s="271">
        <v>278.39</v>
      </c>
      <c r="O127" s="271">
        <f t="shared" si="18"/>
        <v>8.114294671095795</v>
      </c>
      <c r="P127" s="267">
        <f t="shared" si="19"/>
        <v>1748.8332205386248</v>
      </c>
      <c r="Q127" s="273">
        <f t="shared" si="20"/>
        <v>486.8576802657477</v>
      </c>
      <c r="S127" s="80"/>
      <c r="T127" s="80"/>
    </row>
    <row r="128" spans="1:20" ht="12.75" customHeight="1">
      <c r="A128" s="1014"/>
      <c r="B128" s="219">
        <v>9</v>
      </c>
      <c r="C128" s="852" t="s">
        <v>197</v>
      </c>
      <c r="D128" s="219">
        <v>60</v>
      </c>
      <c r="E128" s="219">
        <v>1983</v>
      </c>
      <c r="F128" s="270">
        <v>107.26146</v>
      </c>
      <c r="G128" s="270">
        <v>8.29149</v>
      </c>
      <c r="H128" s="270">
        <v>6</v>
      </c>
      <c r="I128" s="325">
        <f t="shared" si="10"/>
        <v>92.96997</v>
      </c>
      <c r="J128" s="261">
        <v>3169.79</v>
      </c>
      <c r="K128" s="268">
        <f t="shared" si="11"/>
        <v>92.96997</v>
      </c>
      <c r="L128" s="331">
        <f t="shared" si="11"/>
        <v>3169.79</v>
      </c>
      <c r="M128" s="272">
        <f t="shared" si="17"/>
        <v>0.029330009243514556</v>
      </c>
      <c r="N128" s="271">
        <v>278.39</v>
      </c>
      <c r="O128" s="271">
        <f t="shared" si="18"/>
        <v>8.165181273302016</v>
      </c>
      <c r="P128" s="267">
        <f t="shared" si="19"/>
        <v>1759.8005546108734</v>
      </c>
      <c r="Q128" s="273">
        <f t="shared" si="20"/>
        <v>489.910876398121</v>
      </c>
      <c r="S128" s="80"/>
      <c r="T128" s="80"/>
    </row>
    <row r="129" spans="1:20" ht="12.75" customHeight="1" thickBot="1">
      <c r="A129" s="1015"/>
      <c r="B129" s="232">
        <v>10</v>
      </c>
      <c r="C129" s="853" t="s">
        <v>198</v>
      </c>
      <c r="D129" s="232">
        <v>86</v>
      </c>
      <c r="E129" s="232">
        <v>1988</v>
      </c>
      <c r="F129" s="274">
        <v>155.64255</v>
      </c>
      <c r="G129" s="274">
        <v>15.44138</v>
      </c>
      <c r="H129" s="274">
        <v>10.04</v>
      </c>
      <c r="I129" s="391">
        <f>F129-G129-H129</f>
        <v>130.16117</v>
      </c>
      <c r="J129" s="263">
        <v>4340.21</v>
      </c>
      <c r="K129" s="557">
        <f t="shared" si="11"/>
        <v>130.16117</v>
      </c>
      <c r="L129" s="424">
        <f t="shared" si="11"/>
        <v>4340.21</v>
      </c>
      <c r="M129" s="276">
        <f t="shared" si="17"/>
        <v>0.029989601885623045</v>
      </c>
      <c r="N129" s="275">
        <v>278.39</v>
      </c>
      <c r="O129" s="275">
        <f t="shared" si="18"/>
        <v>8.3488052689386</v>
      </c>
      <c r="P129" s="275">
        <f t="shared" si="19"/>
        <v>1799.3761131373826</v>
      </c>
      <c r="Q129" s="277">
        <f t="shared" si="20"/>
        <v>500.9283161363159</v>
      </c>
      <c r="S129" s="80"/>
      <c r="T129" s="80"/>
    </row>
    <row r="130" spans="1:20" ht="12.75">
      <c r="A130" s="968" t="s">
        <v>52</v>
      </c>
      <c r="B130" s="73">
        <v>1</v>
      </c>
      <c r="C130" s="854" t="s">
        <v>199</v>
      </c>
      <c r="D130" s="38">
        <v>105</v>
      </c>
      <c r="E130" s="38">
        <v>1963</v>
      </c>
      <c r="F130" s="394">
        <v>93.1</v>
      </c>
      <c r="G130" s="394">
        <v>9.14976</v>
      </c>
      <c r="H130" s="394"/>
      <c r="I130" s="394">
        <f t="shared" si="10"/>
        <v>83.95024</v>
      </c>
      <c r="J130" s="334">
        <v>2706.95</v>
      </c>
      <c r="K130" s="414">
        <f t="shared" si="11"/>
        <v>83.95024</v>
      </c>
      <c r="L130" s="334">
        <f t="shared" si="11"/>
        <v>2706.95</v>
      </c>
      <c r="M130" s="414">
        <f>K130/L130</f>
        <v>0.03101285210292026</v>
      </c>
      <c r="N130" s="415">
        <v>278.39</v>
      </c>
      <c r="O130" s="415">
        <f>M130*N130</f>
        <v>8.633667896931971</v>
      </c>
      <c r="P130" s="415">
        <f>M130*60*1000</f>
        <v>1860.7711261752156</v>
      </c>
      <c r="Q130" s="416">
        <f>P130*N130/1000</f>
        <v>518.0200738159182</v>
      </c>
      <c r="S130" s="80"/>
      <c r="T130" s="80"/>
    </row>
    <row r="131" spans="1:20" ht="12.75" customHeight="1">
      <c r="A131" s="968"/>
      <c r="B131" s="40">
        <v>2</v>
      </c>
      <c r="C131" s="99" t="s">
        <v>200</v>
      </c>
      <c r="D131" s="40">
        <v>78</v>
      </c>
      <c r="E131" s="40">
        <v>1976</v>
      </c>
      <c r="F131" s="172">
        <v>48.76233</v>
      </c>
      <c r="G131" s="172">
        <v>4.47742</v>
      </c>
      <c r="H131" s="172">
        <v>0.78</v>
      </c>
      <c r="I131" s="204">
        <f t="shared" si="10"/>
        <v>43.504909999999995</v>
      </c>
      <c r="J131" s="297">
        <v>1335.89</v>
      </c>
      <c r="K131" s="213">
        <f t="shared" si="11"/>
        <v>43.504909999999995</v>
      </c>
      <c r="L131" s="332">
        <f t="shared" si="11"/>
        <v>1335.89</v>
      </c>
      <c r="M131" s="214">
        <f aca="true" t="shared" si="21" ref="M131:M139">K131/L131</f>
        <v>0.03256623674104903</v>
      </c>
      <c r="N131" s="290">
        <v>278.39</v>
      </c>
      <c r="O131" s="290">
        <f aca="true" t="shared" si="22" ref="O131:O139">M131*N131</f>
        <v>9.06611464634064</v>
      </c>
      <c r="P131" s="164">
        <f aca="true" t="shared" si="23" ref="P131:P139">M131*60*1000</f>
        <v>1953.974204462942</v>
      </c>
      <c r="Q131" s="291">
        <f aca="true" t="shared" si="24" ref="Q131:Q139">P131*N131/1000</f>
        <v>543.9668787804385</v>
      </c>
      <c r="S131" s="80"/>
      <c r="T131" s="80"/>
    </row>
    <row r="132" spans="1:20" ht="12.75" customHeight="1">
      <c r="A132" s="968"/>
      <c r="B132" s="40">
        <v>3</v>
      </c>
      <c r="C132" s="99" t="s">
        <v>201</v>
      </c>
      <c r="D132" s="40">
        <v>108</v>
      </c>
      <c r="E132" s="40">
        <v>1967</v>
      </c>
      <c r="F132" s="172">
        <v>110.74181</v>
      </c>
      <c r="G132" s="172">
        <v>13.21478</v>
      </c>
      <c r="H132" s="172">
        <v>10.53</v>
      </c>
      <c r="I132" s="204">
        <f t="shared" si="10"/>
        <v>86.99703</v>
      </c>
      <c r="J132" s="297">
        <v>2598.9</v>
      </c>
      <c r="K132" s="213">
        <f t="shared" si="11"/>
        <v>86.99703</v>
      </c>
      <c r="L132" s="332">
        <f t="shared" si="11"/>
        <v>2598.9</v>
      </c>
      <c r="M132" s="214">
        <f t="shared" si="21"/>
        <v>0.033474558467043745</v>
      </c>
      <c r="N132" s="290">
        <v>278.39</v>
      </c>
      <c r="O132" s="290">
        <f t="shared" si="22"/>
        <v>9.318982331640308</v>
      </c>
      <c r="P132" s="164">
        <f t="shared" si="23"/>
        <v>2008.4735080226249</v>
      </c>
      <c r="Q132" s="291">
        <f t="shared" si="24"/>
        <v>559.1389398984185</v>
      </c>
      <c r="S132" s="80"/>
      <c r="T132" s="80"/>
    </row>
    <row r="133" spans="1:20" ht="12.75" customHeight="1">
      <c r="A133" s="968"/>
      <c r="B133" s="40">
        <v>4</v>
      </c>
      <c r="C133" s="99" t="s">
        <v>202</v>
      </c>
      <c r="D133" s="40">
        <v>75</v>
      </c>
      <c r="E133" s="40">
        <v>1992</v>
      </c>
      <c r="F133" s="172">
        <v>156.39057</v>
      </c>
      <c r="G133" s="172">
        <v>15.29123</v>
      </c>
      <c r="H133" s="172">
        <v>7.4</v>
      </c>
      <c r="I133" s="204">
        <f t="shared" si="10"/>
        <v>133.69933999999998</v>
      </c>
      <c r="J133" s="297">
        <v>3908.67</v>
      </c>
      <c r="K133" s="213">
        <f t="shared" si="11"/>
        <v>133.69933999999998</v>
      </c>
      <c r="L133" s="332">
        <f t="shared" si="11"/>
        <v>3908.67</v>
      </c>
      <c r="M133" s="214">
        <f t="shared" si="21"/>
        <v>0.03420583983810349</v>
      </c>
      <c r="N133" s="290">
        <v>278.39</v>
      </c>
      <c r="O133" s="290">
        <f t="shared" si="22"/>
        <v>9.52256375252963</v>
      </c>
      <c r="P133" s="164">
        <f t="shared" si="23"/>
        <v>2052.3503902862094</v>
      </c>
      <c r="Q133" s="291">
        <f t="shared" si="24"/>
        <v>571.3538251517779</v>
      </c>
      <c r="S133" s="80"/>
      <c r="T133" s="80"/>
    </row>
    <row r="134" spans="1:20" ht="12.75" customHeight="1">
      <c r="A134" s="968"/>
      <c r="B134" s="40">
        <v>5</v>
      </c>
      <c r="C134" s="99" t="s">
        <v>203</v>
      </c>
      <c r="D134" s="40">
        <v>21</v>
      </c>
      <c r="E134" s="40">
        <v>1957</v>
      </c>
      <c r="F134" s="172">
        <v>43.5085</v>
      </c>
      <c r="G134" s="172">
        <v>1.7085</v>
      </c>
      <c r="H134" s="172">
        <v>1.9</v>
      </c>
      <c r="I134" s="204">
        <f t="shared" si="10"/>
        <v>39.9</v>
      </c>
      <c r="J134" s="297">
        <v>1139.85</v>
      </c>
      <c r="K134" s="213">
        <f t="shared" si="11"/>
        <v>39.9</v>
      </c>
      <c r="L134" s="332">
        <f t="shared" si="11"/>
        <v>1139.85</v>
      </c>
      <c r="M134" s="214">
        <f t="shared" si="21"/>
        <v>0.035004605869193316</v>
      </c>
      <c r="N134" s="290">
        <v>278.39</v>
      </c>
      <c r="O134" s="290">
        <f t="shared" si="22"/>
        <v>9.744932227924727</v>
      </c>
      <c r="P134" s="164">
        <f t="shared" si="23"/>
        <v>2100.276352151599</v>
      </c>
      <c r="Q134" s="291">
        <f t="shared" si="24"/>
        <v>584.6959336754836</v>
      </c>
      <c r="S134" s="80"/>
      <c r="T134" s="80"/>
    </row>
    <row r="135" spans="1:20" ht="12.75" customHeight="1">
      <c r="A135" s="968"/>
      <c r="B135" s="40">
        <v>6</v>
      </c>
      <c r="C135" s="99" t="s">
        <v>204</v>
      </c>
      <c r="D135" s="40">
        <v>6</v>
      </c>
      <c r="E135" s="40">
        <v>1999</v>
      </c>
      <c r="F135" s="172">
        <v>14</v>
      </c>
      <c r="G135" s="172">
        <v>0.64359</v>
      </c>
      <c r="H135" s="172">
        <v>0.6</v>
      </c>
      <c r="I135" s="204">
        <f t="shared" si="10"/>
        <v>12.75641</v>
      </c>
      <c r="J135" s="297">
        <v>350.41</v>
      </c>
      <c r="K135" s="213">
        <f t="shared" si="11"/>
        <v>12.75641</v>
      </c>
      <c r="L135" s="332">
        <f t="shared" si="11"/>
        <v>350.41</v>
      </c>
      <c r="M135" s="214">
        <f t="shared" si="21"/>
        <v>0.03640424074655404</v>
      </c>
      <c r="N135" s="290">
        <v>278.39</v>
      </c>
      <c r="O135" s="290">
        <f t="shared" si="22"/>
        <v>10.134576581433178</v>
      </c>
      <c r="P135" s="164">
        <f t="shared" si="23"/>
        <v>2184.2544447932423</v>
      </c>
      <c r="Q135" s="291">
        <f t="shared" si="24"/>
        <v>608.0745948859907</v>
      </c>
      <c r="S135" s="80"/>
      <c r="T135" s="80"/>
    </row>
    <row r="136" spans="1:20" ht="12.75" customHeight="1">
      <c r="A136" s="968"/>
      <c r="B136" s="40">
        <v>7</v>
      </c>
      <c r="C136" s="871" t="s">
        <v>205</v>
      </c>
      <c r="D136" s="40">
        <v>12</v>
      </c>
      <c r="E136" s="40">
        <v>1961</v>
      </c>
      <c r="F136" s="172">
        <v>21.6295</v>
      </c>
      <c r="G136" s="172">
        <v>1.45595</v>
      </c>
      <c r="H136" s="172">
        <v>0.12</v>
      </c>
      <c r="I136" s="204">
        <f t="shared" si="10"/>
        <v>20.053549999999998</v>
      </c>
      <c r="J136" s="297">
        <v>536.65</v>
      </c>
      <c r="K136" s="213">
        <f t="shared" si="11"/>
        <v>20.053549999999998</v>
      </c>
      <c r="L136" s="332">
        <f t="shared" si="11"/>
        <v>536.65</v>
      </c>
      <c r="M136" s="214">
        <f t="shared" si="21"/>
        <v>0.037368023851672406</v>
      </c>
      <c r="N136" s="290">
        <v>278.39</v>
      </c>
      <c r="O136" s="290">
        <f t="shared" si="22"/>
        <v>10.40288416006708</v>
      </c>
      <c r="P136" s="164">
        <f t="shared" si="23"/>
        <v>2242.0814311003446</v>
      </c>
      <c r="Q136" s="291">
        <f t="shared" si="24"/>
        <v>624.1730496040249</v>
      </c>
      <c r="S136" s="80"/>
      <c r="T136" s="80"/>
    </row>
    <row r="137" spans="1:20" ht="13.5" customHeight="1">
      <c r="A137" s="968"/>
      <c r="B137" s="301">
        <v>8</v>
      </c>
      <c r="C137" s="45" t="s">
        <v>206</v>
      </c>
      <c r="D137" s="870">
        <v>6</v>
      </c>
      <c r="E137" s="40">
        <v>1855</v>
      </c>
      <c r="F137" s="172">
        <v>12.4</v>
      </c>
      <c r="G137" s="172">
        <v>0.806197</v>
      </c>
      <c r="H137" s="172">
        <v>0.06</v>
      </c>
      <c r="I137" s="204">
        <f t="shared" si="10"/>
        <v>11.533803</v>
      </c>
      <c r="J137" s="297">
        <v>293.06</v>
      </c>
      <c r="K137" s="213">
        <f t="shared" si="11"/>
        <v>11.533803</v>
      </c>
      <c r="L137" s="332">
        <f t="shared" si="11"/>
        <v>293.06</v>
      </c>
      <c r="M137" s="214">
        <f t="shared" si="21"/>
        <v>0.03935645601583294</v>
      </c>
      <c r="N137" s="290">
        <v>278.39</v>
      </c>
      <c r="O137" s="290">
        <f t="shared" si="22"/>
        <v>10.95644379024773</v>
      </c>
      <c r="P137" s="164">
        <f t="shared" si="23"/>
        <v>2361.387360949976</v>
      </c>
      <c r="Q137" s="291">
        <f t="shared" si="24"/>
        <v>657.3866274148638</v>
      </c>
      <c r="S137" s="80"/>
      <c r="T137" s="80"/>
    </row>
    <row r="138" spans="1:20" ht="12.75" customHeight="1">
      <c r="A138" s="968"/>
      <c r="B138" s="40">
        <v>9</v>
      </c>
      <c r="C138" s="872" t="s">
        <v>207</v>
      </c>
      <c r="D138" s="40">
        <v>74</v>
      </c>
      <c r="E138" s="40">
        <v>1961</v>
      </c>
      <c r="F138" s="172">
        <v>59.68609</v>
      </c>
      <c r="G138" s="172">
        <v>3.55199</v>
      </c>
      <c r="H138" s="172">
        <v>0.74</v>
      </c>
      <c r="I138" s="204">
        <f t="shared" si="10"/>
        <v>55.3941</v>
      </c>
      <c r="J138" s="297">
        <v>1342.27</v>
      </c>
      <c r="K138" s="213">
        <f t="shared" si="11"/>
        <v>55.3941</v>
      </c>
      <c r="L138" s="332">
        <f t="shared" si="11"/>
        <v>1342.27</v>
      </c>
      <c r="M138" s="214">
        <f t="shared" si="21"/>
        <v>0.04126896973038212</v>
      </c>
      <c r="N138" s="290">
        <v>278.39</v>
      </c>
      <c r="O138" s="290">
        <f t="shared" si="22"/>
        <v>11.488868483241077</v>
      </c>
      <c r="P138" s="164">
        <f t="shared" si="23"/>
        <v>2476.138183822927</v>
      </c>
      <c r="Q138" s="291">
        <f t="shared" si="24"/>
        <v>689.3321089944646</v>
      </c>
      <c r="S138" s="80"/>
      <c r="T138" s="80"/>
    </row>
    <row r="139" spans="1:20" ht="12.75" customHeight="1" thickBot="1">
      <c r="A139" s="969"/>
      <c r="B139" s="42">
        <v>10</v>
      </c>
      <c r="C139" s="100" t="s">
        <v>208</v>
      </c>
      <c r="D139" s="42">
        <v>12</v>
      </c>
      <c r="E139" s="42">
        <v>1962</v>
      </c>
      <c r="F139" s="215">
        <v>23.46907</v>
      </c>
      <c r="G139" s="215">
        <v>1.18349</v>
      </c>
      <c r="H139" s="215">
        <v>0.12</v>
      </c>
      <c r="I139" s="493">
        <f t="shared" si="10"/>
        <v>22.16558</v>
      </c>
      <c r="J139" s="333">
        <v>522.93</v>
      </c>
      <c r="K139" s="529">
        <f t="shared" si="11"/>
        <v>22.16558</v>
      </c>
      <c r="L139" s="528">
        <f t="shared" si="11"/>
        <v>522.93</v>
      </c>
      <c r="M139" s="217">
        <f t="shared" si="21"/>
        <v>0.042387279368175476</v>
      </c>
      <c r="N139" s="42">
        <v>278.39</v>
      </c>
      <c r="O139" s="216">
        <f t="shared" si="22"/>
        <v>11.80019470330637</v>
      </c>
      <c r="P139" s="216">
        <f t="shared" si="23"/>
        <v>2543.236762090529</v>
      </c>
      <c r="Q139" s="288">
        <f t="shared" si="24"/>
        <v>708.0116821983823</v>
      </c>
      <c r="S139" s="80"/>
      <c r="T139" s="80"/>
    </row>
    <row r="140" spans="19:20" ht="12.75">
      <c r="S140" s="80"/>
      <c r="T140" s="80"/>
    </row>
    <row r="141" spans="1:20" s="17" customFormat="1" ht="16.5" customHeight="1">
      <c r="A141" s="992" t="s">
        <v>68</v>
      </c>
      <c r="B141" s="992"/>
      <c r="C141" s="992"/>
      <c r="D141" s="992"/>
      <c r="E141" s="992"/>
      <c r="F141" s="992"/>
      <c r="G141" s="992"/>
      <c r="H141" s="992"/>
      <c r="I141" s="992"/>
      <c r="J141" s="992"/>
      <c r="K141" s="992"/>
      <c r="L141" s="992"/>
      <c r="M141" s="992"/>
      <c r="N141" s="992"/>
      <c r="O141" s="992"/>
      <c r="P141" s="992"/>
      <c r="Q141" s="992"/>
      <c r="S141" s="80"/>
      <c r="T141" s="80"/>
    </row>
    <row r="142" spans="1:20" s="17" customFormat="1" ht="14.25" customHeight="1" thickBot="1">
      <c r="A142" s="980" t="s">
        <v>209</v>
      </c>
      <c r="B142" s="980"/>
      <c r="C142" s="980"/>
      <c r="D142" s="980"/>
      <c r="E142" s="980"/>
      <c r="F142" s="980"/>
      <c r="G142" s="980"/>
      <c r="H142" s="980"/>
      <c r="I142" s="980"/>
      <c r="J142" s="980"/>
      <c r="K142" s="980"/>
      <c r="L142" s="980"/>
      <c r="M142" s="980"/>
      <c r="N142" s="980"/>
      <c r="O142" s="980"/>
      <c r="P142" s="980"/>
      <c r="Q142" s="980"/>
      <c r="S142" s="80"/>
      <c r="T142" s="80"/>
    </row>
    <row r="143" spans="1:20" ht="12.75" customHeight="1">
      <c r="A143" s="885" t="s">
        <v>1</v>
      </c>
      <c r="B143" s="908" t="s">
        <v>0</v>
      </c>
      <c r="C143" s="880" t="s">
        <v>2</v>
      </c>
      <c r="D143" s="880" t="s">
        <v>3</v>
      </c>
      <c r="E143" s="880" t="s">
        <v>13</v>
      </c>
      <c r="F143" s="911" t="s">
        <v>14</v>
      </c>
      <c r="G143" s="912"/>
      <c r="H143" s="912"/>
      <c r="I143" s="913"/>
      <c r="J143" s="880" t="s">
        <v>4</v>
      </c>
      <c r="K143" s="880" t="s">
        <v>15</v>
      </c>
      <c r="L143" s="880" t="s">
        <v>5</v>
      </c>
      <c r="M143" s="880" t="s">
        <v>6</v>
      </c>
      <c r="N143" s="880" t="s">
        <v>16</v>
      </c>
      <c r="O143" s="892" t="s">
        <v>17</v>
      </c>
      <c r="P143" s="880" t="s">
        <v>25</v>
      </c>
      <c r="Q143" s="890" t="s">
        <v>26</v>
      </c>
      <c r="S143" s="80"/>
      <c r="T143" s="80"/>
    </row>
    <row r="144" spans="1:20" s="2" customFormat="1" ht="33.75">
      <c r="A144" s="886"/>
      <c r="B144" s="909"/>
      <c r="C144" s="888"/>
      <c r="D144" s="881"/>
      <c r="E144" s="881"/>
      <c r="F144" s="36" t="s">
        <v>18</v>
      </c>
      <c r="G144" s="36" t="s">
        <v>19</v>
      </c>
      <c r="H144" s="36" t="s">
        <v>20</v>
      </c>
      <c r="I144" s="36" t="s">
        <v>21</v>
      </c>
      <c r="J144" s="881"/>
      <c r="K144" s="881"/>
      <c r="L144" s="881"/>
      <c r="M144" s="881"/>
      <c r="N144" s="881"/>
      <c r="O144" s="893"/>
      <c r="P144" s="881"/>
      <c r="Q144" s="891"/>
      <c r="S144" s="80"/>
      <c r="T144" s="80"/>
    </row>
    <row r="145" spans="1:20" s="3" customFormat="1" ht="13.5" customHeight="1" thickBot="1">
      <c r="A145" s="886"/>
      <c r="B145" s="909"/>
      <c r="C145" s="888"/>
      <c r="D145" s="10" t="s">
        <v>7</v>
      </c>
      <c r="E145" s="10" t="s">
        <v>8</v>
      </c>
      <c r="F145" s="10" t="s">
        <v>9</v>
      </c>
      <c r="G145" s="10" t="s">
        <v>9</v>
      </c>
      <c r="H145" s="10" t="s">
        <v>9</v>
      </c>
      <c r="I145" s="10" t="s">
        <v>9</v>
      </c>
      <c r="J145" s="10" t="s">
        <v>22</v>
      </c>
      <c r="K145" s="10" t="s">
        <v>9</v>
      </c>
      <c r="L145" s="10" t="s">
        <v>22</v>
      </c>
      <c r="M145" s="52" t="s">
        <v>23</v>
      </c>
      <c r="N145" s="52" t="s">
        <v>10</v>
      </c>
      <c r="O145" s="52" t="s">
        <v>24</v>
      </c>
      <c r="P145" s="52" t="s">
        <v>27</v>
      </c>
      <c r="Q145" s="11" t="s">
        <v>28</v>
      </c>
      <c r="S145" s="80"/>
      <c r="T145" s="80"/>
    </row>
    <row r="146" spans="1:20" ht="12.75">
      <c r="A146" s="993" t="s">
        <v>51</v>
      </c>
      <c r="B146" s="30">
        <v>1</v>
      </c>
      <c r="C146" s="654" t="s">
        <v>210</v>
      </c>
      <c r="D146" s="655">
        <v>40</v>
      </c>
      <c r="E146" s="656" t="s">
        <v>113</v>
      </c>
      <c r="F146" s="743">
        <v>35.96</v>
      </c>
      <c r="G146" s="743">
        <v>5.91</v>
      </c>
      <c r="H146" s="744">
        <v>6.4</v>
      </c>
      <c r="I146" s="744">
        <v>23.64</v>
      </c>
      <c r="J146" s="765">
        <v>2494.75</v>
      </c>
      <c r="K146" s="780">
        <v>23.64</v>
      </c>
      <c r="L146" s="655">
        <v>2494.75</v>
      </c>
      <c r="M146" s="237">
        <f>K146/L146</f>
        <v>0.009475899388716305</v>
      </c>
      <c r="N146" s="863">
        <v>249.3</v>
      </c>
      <c r="O146" s="238">
        <f>M146*N146</f>
        <v>2.362341717606975</v>
      </c>
      <c r="P146" s="238">
        <f>M146*60*1000</f>
        <v>568.5539633229783</v>
      </c>
      <c r="Q146" s="239">
        <f>P146*N146/1000</f>
        <v>141.7405030564185</v>
      </c>
      <c r="R146" s="6"/>
      <c r="S146" s="80"/>
      <c r="T146" s="80"/>
    </row>
    <row r="147" spans="1:20" ht="12.75">
      <c r="A147" s="916"/>
      <c r="B147" s="31">
        <v>2</v>
      </c>
      <c r="C147" s="657" t="s">
        <v>211</v>
      </c>
      <c r="D147" s="658">
        <v>45</v>
      </c>
      <c r="E147" s="659" t="s">
        <v>113</v>
      </c>
      <c r="F147" s="745">
        <v>36.41</v>
      </c>
      <c r="G147" s="745">
        <v>5.49</v>
      </c>
      <c r="H147" s="746">
        <v>7.2</v>
      </c>
      <c r="I147" s="746">
        <v>23.72</v>
      </c>
      <c r="J147" s="766">
        <v>2319.88</v>
      </c>
      <c r="K147" s="781">
        <v>23.72</v>
      </c>
      <c r="L147" s="658">
        <v>2319.88</v>
      </c>
      <c r="M147" s="122">
        <f aca="true" t="shared" si="25" ref="M147:M155">K147/L147</f>
        <v>0.010224666793109988</v>
      </c>
      <c r="N147" s="660">
        <v>249.3</v>
      </c>
      <c r="O147" s="121">
        <f aca="true" t="shared" si="26" ref="O147:O165">M147*N147</f>
        <v>2.54900943152232</v>
      </c>
      <c r="P147" s="238">
        <f aca="true" t="shared" si="27" ref="P147:P165">M147*60*1000</f>
        <v>613.4800075865993</v>
      </c>
      <c r="Q147" s="123">
        <f aca="true" t="shared" si="28" ref="Q147:Q165">P147*N147/1000</f>
        <v>152.94056589133922</v>
      </c>
      <c r="S147" s="80"/>
      <c r="T147" s="80"/>
    </row>
    <row r="148" spans="1:20" ht="12.75">
      <c r="A148" s="916"/>
      <c r="B148" s="31">
        <v>3</v>
      </c>
      <c r="C148" s="657" t="s">
        <v>212</v>
      </c>
      <c r="D148" s="658">
        <v>101</v>
      </c>
      <c r="E148" s="659" t="s">
        <v>113</v>
      </c>
      <c r="F148" s="745">
        <v>77</v>
      </c>
      <c r="G148" s="745">
        <v>11.22</v>
      </c>
      <c r="H148" s="746">
        <v>16</v>
      </c>
      <c r="I148" s="746">
        <v>49.78</v>
      </c>
      <c r="J148" s="766">
        <v>4440.62</v>
      </c>
      <c r="K148" s="781">
        <v>49.78</v>
      </c>
      <c r="L148" s="658">
        <v>4440.62</v>
      </c>
      <c r="M148" s="122">
        <f t="shared" si="25"/>
        <v>0.011210146330917756</v>
      </c>
      <c r="N148" s="660">
        <v>249.3</v>
      </c>
      <c r="O148" s="121">
        <f t="shared" si="26"/>
        <v>2.7946894802977966</v>
      </c>
      <c r="P148" s="238">
        <f t="shared" si="27"/>
        <v>672.6087798550653</v>
      </c>
      <c r="Q148" s="123">
        <f t="shared" si="28"/>
        <v>167.6813688178678</v>
      </c>
      <c r="S148" s="80"/>
      <c r="T148" s="80"/>
    </row>
    <row r="149" spans="1:20" ht="12.75">
      <c r="A149" s="916"/>
      <c r="B149" s="31">
        <v>4</v>
      </c>
      <c r="C149" s="657" t="s">
        <v>213</v>
      </c>
      <c r="D149" s="658">
        <v>45</v>
      </c>
      <c r="E149" s="659" t="s">
        <v>113</v>
      </c>
      <c r="F149" s="745">
        <v>37.91</v>
      </c>
      <c r="G149" s="745">
        <v>4.54</v>
      </c>
      <c r="H149" s="746">
        <v>7.2</v>
      </c>
      <c r="I149" s="746">
        <v>26.17</v>
      </c>
      <c r="J149" s="766">
        <v>2313.86</v>
      </c>
      <c r="K149" s="781">
        <v>26.17</v>
      </c>
      <c r="L149" s="658">
        <v>2313.86</v>
      </c>
      <c r="M149" s="122">
        <f t="shared" si="25"/>
        <v>0.011310105192189675</v>
      </c>
      <c r="N149" s="660">
        <v>249.3</v>
      </c>
      <c r="O149" s="121">
        <f t="shared" si="26"/>
        <v>2.819609224412886</v>
      </c>
      <c r="P149" s="238">
        <f t="shared" si="27"/>
        <v>678.6063115313805</v>
      </c>
      <c r="Q149" s="123">
        <f t="shared" si="28"/>
        <v>169.17655346477318</v>
      </c>
      <c r="S149" s="80"/>
      <c r="T149" s="80"/>
    </row>
    <row r="150" spans="1:20" ht="12.75">
      <c r="A150" s="916"/>
      <c r="B150" s="31">
        <v>5</v>
      </c>
      <c r="C150" s="657" t="s">
        <v>214</v>
      </c>
      <c r="D150" s="658">
        <v>103</v>
      </c>
      <c r="E150" s="659" t="s">
        <v>113</v>
      </c>
      <c r="F150" s="745">
        <v>76.36</v>
      </c>
      <c r="G150" s="745">
        <v>7.54</v>
      </c>
      <c r="H150" s="746">
        <v>16</v>
      </c>
      <c r="I150" s="746">
        <v>52.23</v>
      </c>
      <c r="J150" s="766">
        <v>4437.08</v>
      </c>
      <c r="K150" s="781">
        <v>52.23</v>
      </c>
      <c r="L150" s="658">
        <v>4437.08</v>
      </c>
      <c r="M150" s="122">
        <f t="shared" si="25"/>
        <v>0.011771254969484436</v>
      </c>
      <c r="N150" s="660">
        <v>249.3</v>
      </c>
      <c r="O150" s="121">
        <f t="shared" si="26"/>
        <v>2.93457386389247</v>
      </c>
      <c r="P150" s="238">
        <f t="shared" si="27"/>
        <v>706.2752981690661</v>
      </c>
      <c r="Q150" s="123">
        <f t="shared" si="28"/>
        <v>176.07443183354818</v>
      </c>
      <c r="S150" s="80"/>
      <c r="T150" s="80"/>
    </row>
    <row r="151" spans="1:20" s="88" customFormat="1" ht="12.75" customHeight="1">
      <c r="A151" s="916"/>
      <c r="B151" s="87">
        <v>6</v>
      </c>
      <c r="C151" s="657" t="s">
        <v>215</v>
      </c>
      <c r="D151" s="658">
        <v>61</v>
      </c>
      <c r="E151" s="659" t="s">
        <v>113</v>
      </c>
      <c r="F151" s="745">
        <v>48.98</v>
      </c>
      <c r="G151" s="745">
        <v>6.34</v>
      </c>
      <c r="H151" s="746">
        <v>9.6</v>
      </c>
      <c r="I151" s="746">
        <v>33.04</v>
      </c>
      <c r="J151" s="766">
        <v>2733.85</v>
      </c>
      <c r="K151" s="781">
        <v>33.04</v>
      </c>
      <c r="L151" s="658">
        <v>2733.85</v>
      </c>
      <c r="M151" s="122">
        <f t="shared" si="25"/>
        <v>0.012085520419920625</v>
      </c>
      <c r="N151" s="660">
        <v>249.3</v>
      </c>
      <c r="O151" s="121">
        <f t="shared" si="26"/>
        <v>3.012920240686212</v>
      </c>
      <c r="P151" s="238">
        <f t="shared" si="27"/>
        <v>725.1312251952376</v>
      </c>
      <c r="Q151" s="123">
        <f t="shared" si="28"/>
        <v>180.77521444117272</v>
      </c>
      <c r="S151" s="80"/>
      <c r="T151" s="80"/>
    </row>
    <row r="152" spans="1:20" ht="12.75">
      <c r="A152" s="916"/>
      <c r="B152" s="31">
        <v>7</v>
      </c>
      <c r="C152" s="657" t="s">
        <v>216</v>
      </c>
      <c r="D152" s="658">
        <v>78</v>
      </c>
      <c r="E152" s="659" t="s">
        <v>113</v>
      </c>
      <c r="F152" s="745">
        <v>67.33</v>
      </c>
      <c r="G152" s="745">
        <v>7.32</v>
      </c>
      <c r="H152" s="746">
        <v>12.48</v>
      </c>
      <c r="I152" s="746">
        <v>47.21</v>
      </c>
      <c r="J152" s="766" t="s">
        <v>217</v>
      </c>
      <c r="K152" s="781">
        <v>46</v>
      </c>
      <c r="L152" s="658">
        <v>3799.48</v>
      </c>
      <c r="M152" s="122">
        <f t="shared" si="25"/>
        <v>0.012106919894301325</v>
      </c>
      <c r="N152" s="660">
        <v>249.3</v>
      </c>
      <c r="O152" s="121">
        <f t="shared" si="26"/>
        <v>3.0182551296493205</v>
      </c>
      <c r="P152" s="238">
        <f t="shared" si="27"/>
        <v>726.4151936580795</v>
      </c>
      <c r="Q152" s="123">
        <f t="shared" si="28"/>
        <v>181.0953077789592</v>
      </c>
      <c r="S152" s="80"/>
      <c r="T152" s="80"/>
    </row>
    <row r="153" spans="1:20" s="88" customFormat="1" ht="12.75">
      <c r="A153" s="916"/>
      <c r="B153" s="87">
        <v>8</v>
      </c>
      <c r="C153" s="657" t="s">
        <v>218</v>
      </c>
      <c r="D153" s="658">
        <v>60</v>
      </c>
      <c r="E153" s="659" t="s">
        <v>113</v>
      </c>
      <c r="F153" s="745">
        <v>48.49</v>
      </c>
      <c r="G153" s="745">
        <v>4.65</v>
      </c>
      <c r="H153" s="746">
        <v>9.6</v>
      </c>
      <c r="I153" s="746">
        <v>34.24</v>
      </c>
      <c r="J153" s="766">
        <v>2723.9</v>
      </c>
      <c r="K153" s="781">
        <v>34.24</v>
      </c>
      <c r="L153" s="658">
        <v>2723.9</v>
      </c>
      <c r="M153" s="122">
        <f t="shared" si="25"/>
        <v>0.01257021182862807</v>
      </c>
      <c r="N153" s="660">
        <v>249.3</v>
      </c>
      <c r="O153" s="121">
        <f t="shared" si="26"/>
        <v>3.133753808876978</v>
      </c>
      <c r="P153" s="238">
        <f t="shared" si="27"/>
        <v>754.2127097176842</v>
      </c>
      <c r="Q153" s="123">
        <f t="shared" si="28"/>
        <v>188.02522853261868</v>
      </c>
      <c r="S153" s="80"/>
      <c r="T153" s="80"/>
    </row>
    <row r="154" spans="1:20" s="88" customFormat="1" ht="12.75">
      <c r="A154" s="916"/>
      <c r="B154" s="87">
        <v>9</v>
      </c>
      <c r="C154" s="657" t="s">
        <v>219</v>
      </c>
      <c r="D154" s="658">
        <v>45</v>
      </c>
      <c r="E154" s="659" t="s">
        <v>113</v>
      </c>
      <c r="F154" s="745">
        <v>43.96</v>
      </c>
      <c r="G154" s="745">
        <v>5.01</v>
      </c>
      <c r="H154" s="746">
        <v>7.2</v>
      </c>
      <c r="I154" s="746">
        <v>31.75</v>
      </c>
      <c r="J154" s="766">
        <v>2333.03</v>
      </c>
      <c r="K154" s="781">
        <v>31.75</v>
      </c>
      <c r="L154" s="658">
        <v>2333.03</v>
      </c>
      <c r="M154" s="122">
        <f t="shared" si="25"/>
        <v>0.013608912015704898</v>
      </c>
      <c r="N154" s="660">
        <v>249.3</v>
      </c>
      <c r="O154" s="121">
        <f t="shared" si="26"/>
        <v>3.3927017655152314</v>
      </c>
      <c r="P154" s="238">
        <f t="shared" si="27"/>
        <v>816.5347209422938</v>
      </c>
      <c r="Q154" s="123">
        <f t="shared" si="28"/>
        <v>203.56210593091384</v>
      </c>
      <c r="S154" s="80"/>
      <c r="T154" s="80"/>
    </row>
    <row r="155" spans="1:20" s="88" customFormat="1" ht="12.75" customHeight="1" thickBot="1">
      <c r="A155" s="942"/>
      <c r="B155" s="91">
        <v>10</v>
      </c>
      <c r="C155" s="661" t="s">
        <v>220</v>
      </c>
      <c r="D155" s="662">
        <v>88</v>
      </c>
      <c r="E155" s="663">
        <v>2007</v>
      </c>
      <c r="F155" s="747">
        <v>87.62</v>
      </c>
      <c r="G155" s="747">
        <v>0</v>
      </c>
      <c r="H155" s="748">
        <v>0</v>
      </c>
      <c r="I155" s="748">
        <v>87.62</v>
      </c>
      <c r="J155" s="767">
        <v>6315.31</v>
      </c>
      <c r="K155" s="782">
        <v>87.62</v>
      </c>
      <c r="L155" s="662">
        <v>6315.31</v>
      </c>
      <c r="M155" s="125">
        <f t="shared" si="25"/>
        <v>0.01387421995119796</v>
      </c>
      <c r="N155" s="664">
        <v>249.3</v>
      </c>
      <c r="O155" s="425">
        <f t="shared" si="26"/>
        <v>3.4588430338336518</v>
      </c>
      <c r="P155" s="124">
        <f t="shared" si="27"/>
        <v>832.4531970718776</v>
      </c>
      <c r="Q155" s="126">
        <f t="shared" si="28"/>
        <v>207.5305820300191</v>
      </c>
      <c r="S155" s="80"/>
      <c r="T155" s="80"/>
    </row>
    <row r="156" spans="1:20" ht="12.75">
      <c r="A156" s="1037" t="s">
        <v>29</v>
      </c>
      <c r="B156" s="33">
        <v>1</v>
      </c>
      <c r="C156" s="711" t="s">
        <v>221</v>
      </c>
      <c r="D156" s="712">
        <v>119</v>
      </c>
      <c r="E156" s="713" t="s">
        <v>113</v>
      </c>
      <c r="F156" s="749">
        <v>117.34</v>
      </c>
      <c r="G156" s="749">
        <v>12.77</v>
      </c>
      <c r="H156" s="750">
        <v>19.04</v>
      </c>
      <c r="I156" s="750">
        <v>85.53</v>
      </c>
      <c r="J156" s="768">
        <v>5732.68</v>
      </c>
      <c r="K156" s="783">
        <v>85.53</v>
      </c>
      <c r="L156" s="791">
        <v>5732.68</v>
      </c>
      <c r="M156" s="136">
        <f>K156/L156</f>
        <v>0.014919723410342109</v>
      </c>
      <c r="N156" s="714">
        <v>249.3</v>
      </c>
      <c r="O156" s="137">
        <f t="shared" si="26"/>
        <v>3.719487046198288</v>
      </c>
      <c r="P156" s="137">
        <f t="shared" si="27"/>
        <v>895.1834046205265</v>
      </c>
      <c r="Q156" s="157">
        <f t="shared" si="28"/>
        <v>223.16922277189727</v>
      </c>
      <c r="S156" s="80"/>
      <c r="T156" s="80"/>
    </row>
    <row r="157" spans="1:20" ht="12.75">
      <c r="A157" s="996"/>
      <c r="B157" s="35">
        <v>2</v>
      </c>
      <c r="C157" s="715" t="s">
        <v>222</v>
      </c>
      <c r="D157" s="716">
        <v>20</v>
      </c>
      <c r="E157" s="717" t="s">
        <v>223</v>
      </c>
      <c r="F157" s="751">
        <v>24.4</v>
      </c>
      <c r="G157" s="751">
        <v>3.21</v>
      </c>
      <c r="H157" s="752">
        <v>3.2</v>
      </c>
      <c r="I157" s="752">
        <v>17.99</v>
      </c>
      <c r="J157" s="769">
        <v>1189.16</v>
      </c>
      <c r="K157" s="784">
        <v>17.99</v>
      </c>
      <c r="L157" s="792">
        <v>1189.16</v>
      </c>
      <c r="M157" s="136">
        <f>K157/L157</f>
        <v>0.015128325877089708</v>
      </c>
      <c r="N157" s="718">
        <v>249.3</v>
      </c>
      <c r="O157" s="137">
        <f t="shared" si="26"/>
        <v>3.7714916411584642</v>
      </c>
      <c r="P157" s="137">
        <f t="shared" si="27"/>
        <v>907.6995526253825</v>
      </c>
      <c r="Q157" s="157">
        <f t="shared" si="28"/>
        <v>226.28949846950783</v>
      </c>
      <c r="S157" s="80"/>
      <c r="T157" s="80"/>
    </row>
    <row r="158" spans="1:20" ht="12.75">
      <c r="A158" s="996"/>
      <c r="B158" s="35">
        <v>3</v>
      </c>
      <c r="C158" s="719" t="s">
        <v>224</v>
      </c>
      <c r="D158" s="720">
        <v>119</v>
      </c>
      <c r="E158" s="721" t="s">
        <v>113</v>
      </c>
      <c r="F158" s="753">
        <v>120.03</v>
      </c>
      <c r="G158" s="753">
        <v>14.26</v>
      </c>
      <c r="H158" s="754">
        <v>19.04</v>
      </c>
      <c r="I158" s="754">
        <v>86.73</v>
      </c>
      <c r="J158" s="770">
        <v>5726.62</v>
      </c>
      <c r="K158" s="785">
        <v>86.73</v>
      </c>
      <c r="L158" s="793">
        <v>5726.62</v>
      </c>
      <c r="M158" s="128">
        <f aca="true" t="shared" si="29" ref="M158:M165">K158/L158</f>
        <v>0.01514505938930818</v>
      </c>
      <c r="N158" s="722">
        <v>249.3</v>
      </c>
      <c r="O158" s="137">
        <f t="shared" si="26"/>
        <v>3.7756633057545295</v>
      </c>
      <c r="P158" s="137">
        <f t="shared" si="27"/>
        <v>908.7035633584908</v>
      </c>
      <c r="Q158" s="155">
        <f t="shared" si="28"/>
        <v>226.53979834527175</v>
      </c>
      <c r="S158" s="80"/>
      <c r="T158" s="80"/>
    </row>
    <row r="159" spans="1:20" ht="12.75">
      <c r="A159" s="996"/>
      <c r="B159" s="35">
        <v>4</v>
      </c>
      <c r="C159" s="719" t="s">
        <v>225</v>
      </c>
      <c r="D159" s="720">
        <v>99</v>
      </c>
      <c r="E159" s="721" t="s">
        <v>113</v>
      </c>
      <c r="F159" s="753">
        <v>94.03</v>
      </c>
      <c r="G159" s="753">
        <v>10.7</v>
      </c>
      <c r="H159" s="754">
        <v>15.84</v>
      </c>
      <c r="I159" s="754">
        <v>67.41</v>
      </c>
      <c r="J159" s="771">
        <v>4437.03</v>
      </c>
      <c r="K159" s="785">
        <v>66.53</v>
      </c>
      <c r="L159" s="793">
        <v>4388.03</v>
      </c>
      <c r="M159" s="128">
        <f t="shared" si="29"/>
        <v>0.015161701264576588</v>
      </c>
      <c r="N159" s="722">
        <v>249.3</v>
      </c>
      <c r="O159" s="127">
        <f t="shared" si="26"/>
        <v>3.7798121252589434</v>
      </c>
      <c r="P159" s="137">
        <f t="shared" si="27"/>
        <v>909.7020758745953</v>
      </c>
      <c r="Q159" s="155">
        <f t="shared" si="28"/>
        <v>226.78872751553664</v>
      </c>
      <c r="S159" s="80"/>
      <c r="T159" s="80"/>
    </row>
    <row r="160" spans="1:20" ht="12.75">
      <c r="A160" s="996"/>
      <c r="B160" s="35">
        <v>5</v>
      </c>
      <c r="C160" s="719" t="s">
        <v>226</v>
      </c>
      <c r="D160" s="720">
        <v>75</v>
      </c>
      <c r="E160" s="721" t="s">
        <v>113</v>
      </c>
      <c r="F160" s="753">
        <v>82.93</v>
      </c>
      <c r="G160" s="753">
        <v>8.8</v>
      </c>
      <c r="H160" s="754">
        <v>11.92</v>
      </c>
      <c r="I160" s="754">
        <v>62.21</v>
      </c>
      <c r="J160" s="770">
        <v>3968.65</v>
      </c>
      <c r="K160" s="785">
        <v>62.21</v>
      </c>
      <c r="L160" s="793">
        <v>3968.65</v>
      </c>
      <c r="M160" s="128">
        <f t="shared" si="29"/>
        <v>0.01567535559951117</v>
      </c>
      <c r="N160" s="722">
        <v>249.3</v>
      </c>
      <c r="O160" s="127">
        <f t="shared" si="26"/>
        <v>3.9078661509581343</v>
      </c>
      <c r="P160" s="137">
        <f t="shared" si="27"/>
        <v>940.5213359706701</v>
      </c>
      <c r="Q160" s="155">
        <f t="shared" si="28"/>
        <v>234.47196905748805</v>
      </c>
      <c r="S160" s="80"/>
      <c r="T160" s="80"/>
    </row>
    <row r="161" spans="1:20" s="88" customFormat="1" ht="12.75">
      <c r="A161" s="996"/>
      <c r="B161" s="95">
        <v>6</v>
      </c>
      <c r="C161" s="719" t="s">
        <v>227</v>
      </c>
      <c r="D161" s="720">
        <v>100</v>
      </c>
      <c r="E161" s="721" t="s">
        <v>113</v>
      </c>
      <c r="F161" s="753">
        <v>100.09</v>
      </c>
      <c r="G161" s="753">
        <v>8.96</v>
      </c>
      <c r="H161" s="754">
        <v>16</v>
      </c>
      <c r="I161" s="754">
        <v>75.13</v>
      </c>
      <c r="J161" s="770">
        <v>4434.25</v>
      </c>
      <c r="K161" s="785">
        <v>75.13</v>
      </c>
      <c r="L161" s="793">
        <v>4434.25</v>
      </c>
      <c r="M161" s="128">
        <f t="shared" si="29"/>
        <v>0.01694311326605401</v>
      </c>
      <c r="N161" s="722">
        <v>249.3</v>
      </c>
      <c r="O161" s="127">
        <f t="shared" si="26"/>
        <v>4.223918137227265</v>
      </c>
      <c r="P161" s="137">
        <f t="shared" si="27"/>
        <v>1016.5867959632407</v>
      </c>
      <c r="Q161" s="155">
        <f t="shared" si="28"/>
        <v>253.4350882336359</v>
      </c>
      <c r="S161" s="89"/>
      <c r="T161" s="89"/>
    </row>
    <row r="162" spans="1:20" s="88" customFormat="1" ht="12.75">
      <c r="A162" s="996"/>
      <c r="B162" s="95">
        <v>7</v>
      </c>
      <c r="C162" s="719" t="s">
        <v>228</v>
      </c>
      <c r="D162" s="720">
        <v>45</v>
      </c>
      <c r="E162" s="721" t="s">
        <v>113</v>
      </c>
      <c r="F162" s="753">
        <v>52.8</v>
      </c>
      <c r="G162" s="753">
        <v>5.75</v>
      </c>
      <c r="H162" s="754">
        <v>7.2</v>
      </c>
      <c r="I162" s="754">
        <v>39.85</v>
      </c>
      <c r="J162" s="770">
        <v>2340.65</v>
      </c>
      <c r="K162" s="785">
        <v>39.85</v>
      </c>
      <c r="L162" s="793">
        <v>2340.65</v>
      </c>
      <c r="M162" s="128">
        <f t="shared" si="29"/>
        <v>0.01702518531177237</v>
      </c>
      <c r="N162" s="722">
        <v>249.3</v>
      </c>
      <c r="O162" s="127">
        <f t="shared" si="26"/>
        <v>4.244378698224852</v>
      </c>
      <c r="P162" s="137">
        <f t="shared" si="27"/>
        <v>1021.5111187063421</v>
      </c>
      <c r="Q162" s="155">
        <f t="shared" si="28"/>
        <v>254.6627218934911</v>
      </c>
      <c r="S162" s="89"/>
      <c r="T162" s="89"/>
    </row>
    <row r="163" spans="1:20" s="88" customFormat="1" ht="12.75">
      <c r="A163" s="996"/>
      <c r="B163" s="95">
        <v>8</v>
      </c>
      <c r="C163" s="719" t="s">
        <v>229</v>
      </c>
      <c r="D163" s="720">
        <v>75</v>
      </c>
      <c r="E163" s="721" t="s">
        <v>113</v>
      </c>
      <c r="F163" s="753">
        <v>88.5</v>
      </c>
      <c r="G163" s="753">
        <v>8.52</v>
      </c>
      <c r="H163" s="754">
        <v>12</v>
      </c>
      <c r="I163" s="754">
        <v>67.98</v>
      </c>
      <c r="J163" s="770">
        <v>3954.15</v>
      </c>
      <c r="K163" s="785">
        <v>67.98</v>
      </c>
      <c r="L163" s="793">
        <v>3954.15</v>
      </c>
      <c r="M163" s="128">
        <f t="shared" si="29"/>
        <v>0.017192064033989606</v>
      </c>
      <c r="N163" s="722">
        <v>249.3</v>
      </c>
      <c r="O163" s="127">
        <f t="shared" si="26"/>
        <v>4.285981563673609</v>
      </c>
      <c r="P163" s="137">
        <f t="shared" si="27"/>
        <v>1031.5238420393764</v>
      </c>
      <c r="Q163" s="155">
        <f t="shared" si="28"/>
        <v>257.15889382041655</v>
      </c>
      <c r="S163" s="89"/>
      <c r="T163" s="89"/>
    </row>
    <row r="164" spans="1:20" ht="12.75">
      <c r="A164" s="996"/>
      <c r="B164" s="35">
        <v>9</v>
      </c>
      <c r="C164" s="719" t="s">
        <v>230</v>
      </c>
      <c r="D164" s="720">
        <v>75</v>
      </c>
      <c r="E164" s="721" t="s">
        <v>113</v>
      </c>
      <c r="F164" s="753">
        <v>91.43</v>
      </c>
      <c r="G164" s="753">
        <v>8.1</v>
      </c>
      <c r="H164" s="754">
        <v>12</v>
      </c>
      <c r="I164" s="754">
        <v>71.33</v>
      </c>
      <c r="J164" s="771">
        <v>3966.62</v>
      </c>
      <c r="K164" s="785">
        <v>70.82</v>
      </c>
      <c r="L164" s="793">
        <v>3941.34</v>
      </c>
      <c r="M164" s="128">
        <f t="shared" si="29"/>
        <v>0.017968508172347474</v>
      </c>
      <c r="N164" s="722">
        <v>249.3</v>
      </c>
      <c r="O164" s="127">
        <f t="shared" si="26"/>
        <v>4.479549087366226</v>
      </c>
      <c r="P164" s="137">
        <f t="shared" si="27"/>
        <v>1078.1104903408484</v>
      </c>
      <c r="Q164" s="155">
        <f t="shared" si="28"/>
        <v>268.7729452419735</v>
      </c>
      <c r="S164" s="80"/>
      <c r="T164" s="80"/>
    </row>
    <row r="165" spans="1:20" ht="13.5" thickBot="1">
      <c r="A165" s="996"/>
      <c r="B165" s="35">
        <v>10</v>
      </c>
      <c r="C165" s="723" t="s">
        <v>231</v>
      </c>
      <c r="D165" s="724">
        <v>103</v>
      </c>
      <c r="E165" s="725" t="s">
        <v>113</v>
      </c>
      <c r="F165" s="755">
        <v>106.2</v>
      </c>
      <c r="G165" s="755">
        <v>7.69</v>
      </c>
      <c r="H165" s="756">
        <v>16</v>
      </c>
      <c r="I165" s="756">
        <v>82.51</v>
      </c>
      <c r="J165" s="772">
        <v>4436.68</v>
      </c>
      <c r="K165" s="786">
        <v>82.51</v>
      </c>
      <c r="L165" s="794">
        <v>4436.68</v>
      </c>
      <c r="M165" s="205">
        <f t="shared" si="29"/>
        <v>0.018597239377191953</v>
      </c>
      <c r="N165" s="726">
        <v>249.3</v>
      </c>
      <c r="O165" s="158">
        <f t="shared" si="26"/>
        <v>4.636291776733954</v>
      </c>
      <c r="P165" s="158">
        <f t="shared" si="27"/>
        <v>1115.8343626315173</v>
      </c>
      <c r="Q165" s="159">
        <f t="shared" si="28"/>
        <v>278.17750660403726</v>
      </c>
      <c r="S165" s="80"/>
      <c r="T165" s="80"/>
    </row>
    <row r="166" spans="1:20" ht="12.75">
      <c r="A166" s="1003" t="s">
        <v>30</v>
      </c>
      <c r="B166" s="218">
        <v>1</v>
      </c>
      <c r="C166" s="665" t="s">
        <v>232</v>
      </c>
      <c r="D166" s="666">
        <v>48</v>
      </c>
      <c r="E166" s="667" t="s">
        <v>113</v>
      </c>
      <c r="F166" s="1043">
        <v>60.98</v>
      </c>
      <c r="G166" s="1043">
        <v>4.33</v>
      </c>
      <c r="H166" s="1044">
        <v>0.52</v>
      </c>
      <c r="I166" s="1044">
        <v>49.5</v>
      </c>
      <c r="J166" s="1045" t="s">
        <v>233</v>
      </c>
      <c r="K166" s="1046">
        <v>46.49</v>
      </c>
      <c r="L166" s="666">
        <v>1899.06</v>
      </c>
      <c r="M166" s="268">
        <f>K166/L166</f>
        <v>0.024480532473960804</v>
      </c>
      <c r="N166" s="668">
        <v>249.3</v>
      </c>
      <c r="O166" s="267">
        <f>M166*N166</f>
        <v>6.102996745758428</v>
      </c>
      <c r="P166" s="267">
        <f>M166*60*1000</f>
        <v>1468.8319484376482</v>
      </c>
      <c r="Q166" s="269">
        <f>P166*N166/1000</f>
        <v>366.1798047455057</v>
      </c>
      <c r="S166" s="80"/>
      <c r="T166" s="80"/>
    </row>
    <row r="167" spans="1:20" ht="12.75">
      <c r="A167" s="939"/>
      <c r="B167" s="219">
        <v>2</v>
      </c>
      <c r="C167" s="669" t="s">
        <v>234</v>
      </c>
      <c r="D167" s="670">
        <v>106</v>
      </c>
      <c r="E167" s="671" t="s">
        <v>113</v>
      </c>
      <c r="F167" s="1047">
        <v>95.2</v>
      </c>
      <c r="G167" s="1047">
        <v>6.41</v>
      </c>
      <c r="H167" s="1048">
        <v>16.96</v>
      </c>
      <c r="I167" s="1048">
        <v>71.51</v>
      </c>
      <c r="J167" s="1049" t="s">
        <v>235</v>
      </c>
      <c r="K167" s="1050">
        <v>70.96</v>
      </c>
      <c r="L167" s="670">
        <v>2590.66</v>
      </c>
      <c r="M167" s="272">
        <f aca="true" t="shared" si="30" ref="M167:M175">K167/L167</f>
        <v>0.02739070352728648</v>
      </c>
      <c r="N167" s="672">
        <v>249.3</v>
      </c>
      <c r="O167" s="271">
        <f aca="true" t="shared" si="31" ref="O167:O175">M167*N167</f>
        <v>6.82850238935252</v>
      </c>
      <c r="P167" s="267">
        <f aca="true" t="shared" si="32" ref="P167:P175">M167*60*1000</f>
        <v>1643.4422116371888</v>
      </c>
      <c r="Q167" s="273">
        <f aca="true" t="shared" si="33" ref="Q167:Q175">P167*N167/1000</f>
        <v>409.7101433611512</v>
      </c>
      <c r="S167" s="80"/>
      <c r="T167" s="80"/>
    </row>
    <row r="168" spans="1:20" ht="12.75">
      <c r="A168" s="939"/>
      <c r="B168" s="219">
        <v>3</v>
      </c>
      <c r="C168" s="669" t="s">
        <v>236</v>
      </c>
      <c r="D168" s="670">
        <v>70</v>
      </c>
      <c r="E168" s="671" t="s">
        <v>113</v>
      </c>
      <c r="F168" s="1047">
        <v>92.39</v>
      </c>
      <c r="G168" s="1047">
        <v>7.2</v>
      </c>
      <c r="H168" s="1048">
        <v>0.68</v>
      </c>
      <c r="I168" s="1048">
        <v>84.51</v>
      </c>
      <c r="J168" s="1049">
        <v>3063.74</v>
      </c>
      <c r="K168" s="1050">
        <v>84.51</v>
      </c>
      <c r="L168" s="670">
        <v>3063.74</v>
      </c>
      <c r="M168" s="272">
        <f t="shared" si="30"/>
        <v>0.027583933362491597</v>
      </c>
      <c r="N168" s="672">
        <v>249.3</v>
      </c>
      <c r="O168" s="271">
        <f t="shared" si="31"/>
        <v>6.8766745872691555</v>
      </c>
      <c r="P168" s="267">
        <f t="shared" si="32"/>
        <v>1655.0360017494959</v>
      </c>
      <c r="Q168" s="273">
        <f t="shared" si="33"/>
        <v>412.60047523614935</v>
      </c>
      <c r="S168" s="80"/>
      <c r="T168" s="80"/>
    </row>
    <row r="169" spans="1:20" ht="12.75">
      <c r="A169" s="939"/>
      <c r="B169" s="219">
        <v>4</v>
      </c>
      <c r="C169" s="669" t="s">
        <v>237</v>
      </c>
      <c r="D169" s="670">
        <v>60</v>
      </c>
      <c r="E169" s="671" t="s">
        <v>113</v>
      </c>
      <c r="F169" s="1047">
        <v>82.14</v>
      </c>
      <c r="G169" s="1047">
        <v>5.47</v>
      </c>
      <c r="H169" s="1048">
        <v>9.6</v>
      </c>
      <c r="I169" s="1048">
        <v>67.07</v>
      </c>
      <c r="J169" s="1049">
        <v>2425.09</v>
      </c>
      <c r="K169" s="1050">
        <v>67.07</v>
      </c>
      <c r="L169" s="670">
        <v>2425.09</v>
      </c>
      <c r="M169" s="272">
        <f t="shared" si="30"/>
        <v>0.02765670552433105</v>
      </c>
      <c r="N169" s="672">
        <v>249.3</v>
      </c>
      <c r="O169" s="271">
        <f t="shared" si="31"/>
        <v>6.894816687215731</v>
      </c>
      <c r="P169" s="267">
        <f t="shared" si="32"/>
        <v>1659.4023314598633</v>
      </c>
      <c r="Q169" s="273">
        <f t="shared" si="33"/>
        <v>413.6890012329439</v>
      </c>
      <c r="S169" s="80"/>
      <c r="T169" s="80"/>
    </row>
    <row r="170" spans="1:20" ht="12.75">
      <c r="A170" s="939"/>
      <c r="B170" s="219">
        <v>5</v>
      </c>
      <c r="C170" s="669" t="s">
        <v>238</v>
      </c>
      <c r="D170" s="670">
        <v>108</v>
      </c>
      <c r="E170" s="671" t="s">
        <v>113</v>
      </c>
      <c r="F170" s="1047">
        <v>98.36</v>
      </c>
      <c r="G170" s="1047">
        <v>6.51</v>
      </c>
      <c r="H170" s="1048">
        <v>17.28</v>
      </c>
      <c r="I170" s="1048">
        <v>74.57</v>
      </c>
      <c r="J170" s="1049">
        <v>2582.45</v>
      </c>
      <c r="K170" s="1050">
        <v>74.57</v>
      </c>
      <c r="L170" s="670">
        <v>2582.45</v>
      </c>
      <c r="M170" s="272">
        <f t="shared" si="30"/>
        <v>0.02887568007125017</v>
      </c>
      <c r="N170" s="672">
        <v>249.3</v>
      </c>
      <c r="O170" s="271">
        <f t="shared" si="31"/>
        <v>7.198707041762668</v>
      </c>
      <c r="P170" s="267">
        <f t="shared" si="32"/>
        <v>1732.54080427501</v>
      </c>
      <c r="Q170" s="273">
        <f t="shared" si="33"/>
        <v>431.92242250576004</v>
      </c>
      <c r="S170" s="80"/>
      <c r="T170" s="80"/>
    </row>
    <row r="171" spans="1:20" ht="12.75">
      <c r="A171" s="939"/>
      <c r="B171" s="219">
        <v>6</v>
      </c>
      <c r="C171" s="669" t="s">
        <v>239</v>
      </c>
      <c r="D171" s="670">
        <v>47</v>
      </c>
      <c r="E171" s="671" t="s">
        <v>113</v>
      </c>
      <c r="F171" s="1047">
        <v>68.06</v>
      </c>
      <c r="G171" s="1047">
        <v>3.1</v>
      </c>
      <c r="H171" s="1048">
        <v>7.6</v>
      </c>
      <c r="I171" s="1048">
        <v>57.36</v>
      </c>
      <c r="J171" s="1049" t="s">
        <v>240</v>
      </c>
      <c r="K171" s="1050">
        <v>56.52</v>
      </c>
      <c r="L171" s="670">
        <v>1926.39</v>
      </c>
      <c r="M171" s="272">
        <f t="shared" si="30"/>
        <v>0.029339853300733496</v>
      </c>
      <c r="N171" s="672">
        <v>249.3</v>
      </c>
      <c r="O171" s="271">
        <f t="shared" si="31"/>
        <v>7.314425427872861</v>
      </c>
      <c r="P171" s="267">
        <f t="shared" si="32"/>
        <v>1760.3911980440096</v>
      </c>
      <c r="Q171" s="273">
        <f t="shared" si="33"/>
        <v>438.86552567237163</v>
      </c>
      <c r="S171" s="80"/>
      <c r="T171" s="80"/>
    </row>
    <row r="172" spans="1:20" ht="12.75">
      <c r="A172" s="939"/>
      <c r="B172" s="219">
        <v>7</v>
      </c>
      <c r="C172" s="669" t="s">
        <v>241</v>
      </c>
      <c r="D172" s="670">
        <v>32</v>
      </c>
      <c r="E172" s="671" t="s">
        <v>113</v>
      </c>
      <c r="F172" s="1047">
        <v>64.99</v>
      </c>
      <c r="G172" s="1047">
        <v>4.28</v>
      </c>
      <c r="H172" s="1048">
        <v>5.28</v>
      </c>
      <c r="I172" s="1048">
        <v>55.43</v>
      </c>
      <c r="J172" s="1049" t="s">
        <v>242</v>
      </c>
      <c r="K172" s="1050">
        <v>49.37</v>
      </c>
      <c r="L172" s="670">
        <v>1653.89</v>
      </c>
      <c r="M172" s="272">
        <f t="shared" si="30"/>
        <v>0.029850836512706404</v>
      </c>
      <c r="N172" s="672">
        <v>249.3</v>
      </c>
      <c r="O172" s="271">
        <f t="shared" si="31"/>
        <v>7.441813542617707</v>
      </c>
      <c r="P172" s="267">
        <f t="shared" si="32"/>
        <v>1791.050190762384</v>
      </c>
      <c r="Q172" s="273">
        <f t="shared" si="33"/>
        <v>446.50881255706236</v>
      </c>
      <c r="S172" s="80"/>
      <c r="T172" s="80"/>
    </row>
    <row r="173" spans="1:20" ht="12.75">
      <c r="A173" s="939"/>
      <c r="B173" s="219">
        <v>8</v>
      </c>
      <c r="C173" s="669" t="s">
        <v>243</v>
      </c>
      <c r="D173" s="670">
        <v>31</v>
      </c>
      <c r="E173" s="671" t="s">
        <v>113</v>
      </c>
      <c r="F173" s="1047">
        <v>41.03</v>
      </c>
      <c r="G173" s="1047">
        <v>3.65</v>
      </c>
      <c r="H173" s="1048">
        <v>0.31</v>
      </c>
      <c r="I173" s="1048">
        <v>37.07</v>
      </c>
      <c r="J173" s="1049">
        <v>1196.73</v>
      </c>
      <c r="K173" s="1050">
        <v>37.07</v>
      </c>
      <c r="L173" s="670">
        <v>1196.73</v>
      </c>
      <c r="M173" s="272">
        <f t="shared" si="30"/>
        <v>0.030976076475061207</v>
      </c>
      <c r="N173" s="672">
        <v>249.3</v>
      </c>
      <c r="O173" s="271">
        <f t="shared" si="31"/>
        <v>7.722335865232759</v>
      </c>
      <c r="P173" s="267">
        <f t="shared" si="32"/>
        <v>1858.5645885036724</v>
      </c>
      <c r="Q173" s="273">
        <f t="shared" si="33"/>
        <v>463.3401519139656</v>
      </c>
      <c r="S173" s="80"/>
      <c r="T173" s="80"/>
    </row>
    <row r="174" spans="1:20" ht="12.75">
      <c r="A174" s="939"/>
      <c r="B174" s="219">
        <v>9</v>
      </c>
      <c r="C174" s="669" t="s">
        <v>244</v>
      </c>
      <c r="D174" s="670">
        <v>11</v>
      </c>
      <c r="E174" s="671" t="s">
        <v>113</v>
      </c>
      <c r="F174" s="1047">
        <v>23.84</v>
      </c>
      <c r="G174" s="1047">
        <v>0</v>
      </c>
      <c r="H174" s="1048">
        <v>0</v>
      </c>
      <c r="I174" s="1048">
        <v>23.84</v>
      </c>
      <c r="J174" s="1049">
        <v>766.97</v>
      </c>
      <c r="K174" s="1050">
        <v>16.06</v>
      </c>
      <c r="L174" s="670">
        <v>516.55</v>
      </c>
      <c r="M174" s="272">
        <f t="shared" si="30"/>
        <v>0.03109089149162714</v>
      </c>
      <c r="N174" s="672">
        <v>249.3</v>
      </c>
      <c r="O174" s="271">
        <f t="shared" si="31"/>
        <v>7.750959248862647</v>
      </c>
      <c r="P174" s="267">
        <f t="shared" si="32"/>
        <v>1865.4534894976284</v>
      </c>
      <c r="Q174" s="273">
        <f t="shared" si="33"/>
        <v>465.0575549317588</v>
      </c>
      <c r="S174" s="80"/>
      <c r="T174" s="80"/>
    </row>
    <row r="175" spans="1:20" ht="13.5" thickBot="1">
      <c r="A175" s="941"/>
      <c r="B175" s="232">
        <v>10</v>
      </c>
      <c r="C175" s="673" t="s">
        <v>245</v>
      </c>
      <c r="D175" s="674">
        <v>30</v>
      </c>
      <c r="E175" s="675" t="s">
        <v>113</v>
      </c>
      <c r="F175" s="1051">
        <v>44.98</v>
      </c>
      <c r="G175" s="1051">
        <v>2.95</v>
      </c>
      <c r="H175" s="1052">
        <v>0.31</v>
      </c>
      <c r="I175" s="1052">
        <v>41.72</v>
      </c>
      <c r="J175" s="1053" t="s">
        <v>246</v>
      </c>
      <c r="K175" s="1054">
        <v>39.35</v>
      </c>
      <c r="L175" s="674">
        <v>1096.68</v>
      </c>
      <c r="M175" s="276">
        <f t="shared" si="30"/>
        <v>0.03588102272312799</v>
      </c>
      <c r="N175" s="676">
        <v>249.3</v>
      </c>
      <c r="O175" s="275">
        <f t="shared" si="31"/>
        <v>8.945138964875808</v>
      </c>
      <c r="P175" s="275">
        <f t="shared" si="32"/>
        <v>2152.8613633876794</v>
      </c>
      <c r="Q175" s="277">
        <f t="shared" si="33"/>
        <v>536.7083378925486</v>
      </c>
      <c r="S175" s="80"/>
      <c r="T175" s="80"/>
    </row>
    <row r="176" spans="1:20" ht="12.75">
      <c r="A176" s="898" t="s">
        <v>52</v>
      </c>
      <c r="B176" s="73">
        <v>1</v>
      </c>
      <c r="C176" s="677" t="s">
        <v>247</v>
      </c>
      <c r="D176" s="678">
        <v>12</v>
      </c>
      <c r="E176" s="679" t="s">
        <v>248</v>
      </c>
      <c r="F176" s="757">
        <v>20.03</v>
      </c>
      <c r="G176" s="757">
        <v>1.52</v>
      </c>
      <c r="H176" s="758">
        <v>1.76</v>
      </c>
      <c r="I176" s="758">
        <v>16.75</v>
      </c>
      <c r="J176" s="773">
        <v>604.23</v>
      </c>
      <c r="K176" s="787">
        <v>16.6</v>
      </c>
      <c r="L176" s="795">
        <v>604.23</v>
      </c>
      <c r="M176" s="213">
        <f>K176/L176</f>
        <v>0.02747298214256161</v>
      </c>
      <c r="N176" s="680">
        <v>249.3</v>
      </c>
      <c r="O176" s="164">
        <f>M176*N176</f>
        <v>6.8490144481406094</v>
      </c>
      <c r="P176" s="164">
        <f>M176*60*1000</f>
        <v>1648.3789285536966</v>
      </c>
      <c r="Q176" s="285">
        <f>P176*N176/1000</f>
        <v>410.94086688843663</v>
      </c>
      <c r="S176" s="80"/>
      <c r="T176" s="80"/>
    </row>
    <row r="177" spans="1:20" ht="12.75">
      <c r="A177" s="899"/>
      <c r="B177" s="40">
        <v>2</v>
      </c>
      <c r="C177" s="681" t="s">
        <v>249</v>
      </c>
      <c r="D177" s="682">
        <v>108</v>
      </c>
      <c r="E177" s="683" t="s">
        <v>248</v>
      </c>
      <c r="F177" s="759">
        <v>96.22</v>
      </c>
      <c r="G177" s="759">
        <v>6.98</v>
      </c>
      <c r="H177" s="760">
        <v>17.2</v>
      </c>
      <c r="I177" s="760">
        <v>72.03</v>
      </c>
      <c r="J177" s="774">
        <v>2563.58</v>
      </c>
      <c r="K177" s="788">
        <v>71.49</v>
      </c>
      <c r="L177" s="796">
        <v>2544.13</v>
      </c>
      <c r="M177" s="214">
        <f aca="true" t="shared" si="34" ref="M177:M185">K177/L177</f>
        <v>0.028099979167731205</v>
      </c>
      <c r="N177" s="684">
        <v>249.3</v>
      </c>
      <c r="O177" s="290">
        <f aca="true" t="shared" si="35" ref="O177:O185">M177*N177</f>
        <v>7.0053248065153895</v>
      </c>
      <c r="P177" s="164">
        <f aca="true" t="shared" si="36" ref="P177:P185">M177*60*1000</f>
        <v>1685.9987500638722</v>
      </c>
      <c r="Q177" s="291">
        <f aca="true" t="shared" si="37" ref="Q177:Q185">P177*N177/1000</f>
        <v>420.31948839092337</v>
      </c>
      <c r="S177" s="80"/>
      <c r="T177" s="80"/>
    </row>
    <row r="178" spans="1:20" ht="12.75">
      <c r="A178" s="899"/>
      <c r="B178" s="40">
        <v>3</v>
      </c>
      <c r="C178" s="685" t="s">
        <v>250</v>
      </c>
      <c r="D178" s="686">
        <v>20</v>
      </c>
      <c r="E178" s="687" t="s">
        <v>248</v>
      </c>
      <c r="F178" s="761">
        <v>42.6</v>
      </c>
      <c r="G178" s="761">
        <v>4.04</v>
      </c>
      <c r="H178" s="762">
        <v>3.2</v>
      </c>
      <c r="I178" s="762">
        <v>35.36</v>
      </c>
      <c r="J178" s="775">
        <v>1234.69</v>
      </c>
      <c r="K178" s="789">
        <v>35.36</v>
      </c>
      <c r="L178" s="797">
        <v>1234.69</v>
      </c>
      <c r="M178" s="214">
        <f t="shared" si="34"/>
        <v>0.0286387676258818</v>
      </c>
      <c r="N178" s="688">
        <v>249.3</v>
      </c>
      <c r="O178" s="290">
        <f t="shared" si="35"/>
        <v>7.1396447691323335</v>
      </c>
      <c r="P178" s="164">
        <f t="shared" si="36"/>
        <v>1718.326057552908</v>
      </c>
      <c r="Q178" s="291">
        <f t="shared" si="37"/>
        <v>428.37868614794</v>
      </c>
      <c r="S178" s="80"/>
      <c r="T178" s="80"/>
    </row>
    <row r="179" spans="1:20" ht="12.75">
      <c r="A179" s="899"/>
      <c r="B179" s="40">
        <v>4</v>
      </c>
      <c r="C179" s="685" t="s">
        <v>251</v>
      </c>
      <c r="D179" s="686">
        <v>17</v>
      </c>
      <c r="E179" s="687" t="s">
        <v>248</v>
      </c>
      <c r="F179" s="761">
        <v>24.95</v>
      </c>
      <c r="G179" s="761">
        <v>2.22</v>
      </c>
      <c r="H179" s="762">
        <v>0.8</v>
      </c>
      <c r="I179" s="762">
        <v>21.93</v>
      </c>
      <c r="J179" s="775">
        <v>635.98</v>
      </c>
      <c r="K179" s="789">
        <v>21.93</v>
      </c>
      <c r="L179" s="797">
        <v>635.98</v>
      </c>
      <c r="M179" s="214">
        <f t="shared" si="34"/>
        <v>0.03448221642190006</v>
      </c>
      <c r="N179" s="688">
        <v>249.3</v>
      </c>
      <c r="O179" s="290">
        <f t="shared" si="35"/>
        <v>8.596416553979685</v>
      </c>
      <c r="P179" s="164">
        <f t="shared" si="36"/>
        <v>2068.9329853140034</v>
      </c>
      <c r="Q179" s="291">
        <f t="shared" si="37"/>
        <v>515.784993238781</v>
      </c>
      <c r="S179" s="80"/>
      <c r="T179" s="80"/>
    </row>
    <row r="180" spans="1:20" ht="12.75">
      <c r="A180" s="899"/>
      <c r="B180" s="40">
        <v>5</v>
      </c>
      <c r="C180" s="685" t="s">
        <v>252</v>
      </c>
      <c r="D180" s="686">
        <v>25</v>
      </c>
      <c r="E180" s="687" t="s">
        <v>248</v>
      </c>
      <c r="F180" s="761">
        <v>53.86</v>
      </c>
      <c r="G180" s="761">
        <v>3.87</v>
      </c>
      <c r="H180" s="762">
        <v>4.49</v>
      </c>
      <c r="I180" s="762">
        <v>43.32</v>
      </c>
      <c r="J180" s="775">
        <v>1215.2</v>
      </c>
      <c r="K180" s="789">
        <v>43.32</v>
      </c>
      <c r="L180" s="797">
        <v>1215.2</v>
      </c>
      <c r="M180" s="214">
        <f t="shared" si="34"/>
        <v>0.03564845292955892</v>
      </c>
      <c r="N180" s="688">
        <v>249.3</v>
      </c>
      <c r="O180" s="290">
        <f t="shared" si="35"/>
        <v>8.887159315339039</v>
      </c>
      <c r="P180" s="164">
        <f t="shared" si="36"/>
        <v>2138.9071757735355</v>
      </c>
      <c r="Q180" s="291">
        <f t="shared" si="37"/>
        <v>533.2295589203425</v>
      </c>
      <c r="S180" s="80"/>
      <c r="T180" s="80"/>
    </row>
    <row r="181" spans="1:20" ht="12.75">
      <c r="A181" s="899"/>
      <c r="B181" s="40">
        <v>6</v>
      </c>
      <c r="C181" s="685" t="s">
        <v>253</v>
      </c>
      <c r="D181" s="686">
        <v>65</v>
      </c>
      <c r="E181" s="687" t="s">
        <v>248</v>
      </c>
      <c r="F181" s="761">
        <v>38.08</v>
      </c>
      <c r="G181" s="761">
        <v>1.81</v>
      </c>
      <c r="H181" s="762">
        <v>0.65</v>
      </c>
      <c r="I181" s="762">
        <v>35.62</v>
      </c>
      <c r="J181" s="775">
        <v>998.65</v>
      </c>
      <c r="K181" s="789">
        <v>35.02</v>
      </c>
      <c r="L181" s="797">
        <v>981.67</v>
      </c>
      <c r="M181" s="214">
        <f t="shared" si="34"/>
        <v>0.03567390263530515</v>
      </c>
      <c r="N181" s="688">
        <v>249.3</v>
      </c>
      <c r="O181" s="290">
        <f t="shared" si="35"/>
        <v>8.893503926981573</v>
      </c>
      <c r="P181" s="164">
        <f t="shared" si="36"/>
        <v>2140.434158118309</v>
      </c>
      <c r="Q181" s="291">
        <f t="shared" si="37"/>
        <v>533.6102356188944</v>
      </c>
      <c r="S181" s="80"/>
      <c r="T181" s="80"/>
    </row>
    <row r="182" spans="1:20" ht="12.75">
      <c r="A182" s="899"/>
      <c r="B182" s="40">
        <v>7</v>
      </c>
      <c r="C182" s="685" t="s">
        <v>254</v>
      </c>
      <c r="D182" s="686">
        <v>15</v>
      </c>
      <c r="E182" s="687" t="s">
        <v>248</v>
      </c>
      <c r="F182" s="761">
        <v>30.14</v>
      </c>
      <c r="G182" s="761">
        <v>1.9</v>
      </c>
      <c r="H182" s="762">
        <v>0.18</v>
      </c>
      <c r="I182" s="762">
        <v>28.06</v>
      </c>
      <c r="J182" s="775">
        <v>610.94</v>
      </c>
      <c r="K182" s="789">
        <v>19.79</v>
      </c>
      <c r="L182" s="797">
        <v>550.52</v>
      </c>
      <c r="M182" s="214">
        <f t="shared" si="34"/>
        <v>0.03594783114146625</v>
      </c>
      <c r="N182" s="688">
        <v>249.3</v>
      </c>
      <c r="O182" s="290">
        <f t="shared" si="35"/>
        <v>8.961794303567537</v>
      </c>
      <c r="P182" s="164">
        <f t="shared" si="36"/>
        <v>2156.8698684879746</v>
      </c>
      <c r="Q182" s="291">
        <f t="shared" si="37"/>
        <v>537.7076582140521</v>
      </c>
      <c r="S182" s="80"/>
      <c r="T182" s="80"/>
    </row>
    <row r="183" spans="1:20" ht="12.75">
      <c r="A183" s="899"/>
      <c r="B183" s="40">
        <v>8</v>
      </c>
      <c r="C183" s="685" t="s">
        <v>255</v>
      </c>
      <c r="D183" s="686">
        <v>4</v>
      </c>
      <c r="E183" s="687" t="s">
        <v>248</v>
      </c>
      <c r="F183" s="761">
        <v>8.08</v>
      </c>
      <c r="G183" s="761">
        <v>0.76</v>
      </c>
      <c r="H183" s="762">
        <v>0.4</v>
      </c>
      <c r="I183" s="762">
        <v>6.92</v>
      </c>
      <c r="J183" s="775">
        <v>191.55</v>
      </c>
      <c r="K183" s="789">
        <v>6.92</v>
      </c>
      <c r="L183" s="797">
        <v>191.55</v>
      </c>
      <c r="M183" s="214">
        <f t="shared" si="34"/>
        <v>0.036126337770817016</v>
      </c>
      <c r="N183" s="688">
        <v>249.3</v>
      </c>
      <c r="O183" s="290">
        <f t="shared" si="35"/>
        <v>9.006296006264682</v>
      </c>
      <c r="P183" s="164">
        <f t="shared" si="36"/>
        <v>2167.580266249021</v>
      </c>
      <c r="Q183" s="291">
        <f t="shared" si="37"/>
        <v>540.3777603758809</v>
      </c>
      <c r="S183" s="80"/>
      <c r="T183" s="80"/>
    </row>
    <row r="184" spans="1:20" ht="12.75">
      <c r="A184" s="899"/>
      <c r="B184" s="40">
        <v>9</v>
      </c>
      <c r="C184" s="685" t="s">
        <v>256</v>
      </c>
      <c r="D184" s="686">
        <v>12</v>
      </c>
      <c r="E184" s="687" t="s">
        <v>248</v>
      </c>
      <c r="F184" s="761">
        <v>42.53</v>
      </c>
      <c r="G184" s="761">
        <v>2.73</v>
      </c>
      <c r="H184" s="762">
        <v>2.27</v>
      </c>
      <c r="I184" s="762">
        <v>37.61</v>
      </c>
      <c r="J184" s="775">
        <v>1046.17</v>
      </c>
      <c r="K184" s="789">
        <v>25.42</v>
      </c>
      <c r="L184" s="797">
        <v>666.55</v>
      </c>
      <c r="M184" s="214">
        <f t="shared" si="34"/>
        <v>0.03813667391793565</v>
      </c>
      <c r="N184" s="688">
        <v>249.3</v>
      </c>
      <c r="O184" s="290">
        <f t="shared" si="35"/>
        <v>9.507472807741356</v>
      </c>
      <c r="P184" s="164">
        <f t="shared" si="36"/>
        <v>2288.200435076139</v>
      </c>
      <c r="Q184" s="291">
        <f t="shared" si="37"/>
        <v>570.4483684644814</v>
      </c>
      <c r="S184" s="80"/>
      <c r="T184" s="80"/>
    </row>
    <row r="185" spans="1:20" ht="13.5" thickBot="1">
      <c r="A185" s="900"/>
      <c r="B185" s="42">
        <v>10</v>
      </c>
      <c r="C185" s="689" t="s">
        <v>257</v>
      </c>
      <c r="D185" s="690">
        <v>5</v>
      </c>
      <c r="E185" s="691" t="s">
        <v>248</v>
      </c>
      <c r="F185" s="763">
        <v>26.33</v>
      </c>
      <c r="G185" s="763">
        <v>1.19</v>
      </c>
      <c r="H185" s="764">
        <v>0.82</v>
      </c>
      <c r="I185" s="764">
        <v>24.32</v>
      </c>
      <c r="J185" s="776">
        <v>611.46</v>
      </c>
      <c r="K185" s="790">
        <v>19.45</v>
      </c>
      <c r="L185" s="798">
        <v>495.61</v>
      </c>
      <c r="M185" s="217">
        <f t="shared" si="34"/>
        <v>0.039244567300901916</v>
      </c>
      <c r="N185" s="692">
        <v>249.3</v>
      </c>
      <c r="O185" s="216">
        <f t="shared" si="35"/>
        <v>9.783670628114848</v>
      </c>
      <c r="P185" s="216">
        <f t="shared" si="36"/>
        <v>2354.674038054115</v>
      </c>
      <c r="Q185" s="288">
        <f t="shared" si="37"/>
        <v>587.0202376868908</v>
      </c>
      <c r="S185" s="80"/>
      <c r="T185" s="80"/>
    </row>
    <row r="186" spans="19:20" ht="12.75">
      <c r="S186" s="80"/>
      <c r="T186" s="80"/>
    </row>
    <row r="187" spans="19:20" ht="12.75">
      <c r="S187" s="80"/>
      <c r="T187" s="80"/>
    </row>
    <row r="188" spans="1:20" s="17" customFormat="1" ht="20.25" customHeight="1">
      <c r="A188" s="992" t="s">
        <v>36</v>
      </c>
      <c r="B188" s="992"/>
      <c r="C188" s="992"/>
      <c r="D188" s="992"/>
      <c r="E188" s="992"/>
      <c r="F188" s="992"/>
      <c r="G188" s="992"/>
      <c r="H188" s="992"/>
      <c r="I188" s="992"/>
      <c r="J188" s="992"/>
      <c r="K188" s="992"/>
      <c r="L188" s="992"/>
      <c r="M188" s="992"/>
      <c r="N188" s="992"/>
      <c r="O188" s="992"/>
      <c r="P188" s="992"/>
      <c r="Q188" s="992"/>
      <c r="S188" s="80"/>
      <c r="T188" s="80"/>
    </row>
    <row r="189" spans="1:20" s="17" customFormat="1" ht="14.25" customHeight="1" thickBot="1">
      <c r="A189" s="980" t="s">
        <v>258</v>
      </c>
      <c r="B189" s="980"/>
      <c r="C189" s="980"/>
      <c r="D189" s="980"/>
      <c r="E189" s="980"/>
      <c r="F189" s="980"/>
      <c r="G189" s="980"/>
      <c r="H189" s="980"/>
      <c r="I189" s="980"/>
      <c r="J189" s="980"/>
      <c r="K189" s="980"/>
      <c r="L189" s="980"/>
      <c r="M189" s="980"/>
      <c r="N189" s="980"/>
      <c r="O189" s="980"/>
      <c r="P189" s="980"/>
      <c r="Q189" s="980"/>
      <c r="S189" s="80"/>
      <c r="T189" s="80"/>
    </row>
    <row r="190" spans="1:20" ht="12.75" customHeight="1">
      <c r="A190" s="885" t="s">
        <v>1</v>
      </c>
      <c r="B190" s="908" t="s">
        <v>0</v>
      </c>
      <c r="C190" s="880" t="s">
        <v>2</v>
      </c>
      <c r="D190" s="880" t="s">
        <v>3</v>
      </c>
      <c r="E190" s="880" t="s">
        <v>13</v>
      </c>
      <c r="F190" s="911" t="s">
        <v>14</v>
      </c>
      <c r="G190" s="912"/>
      <c r="H190" s="912"/>
      <c r="I190" s="913"/>
      <c r="J190" s="880" t="s">
        <v>4</v>
      </c>
      <c r="K190" s="880" t="s">
        <v>15</v>
      </c>
      <c r="L190" s="880" t="s">
        <v>5</v>
      </c>
      <c r="M190" s="880" t="s">
        <v>6</v>
      </c>
      <c r="N190" s="880" t="s">
        <v>16</v>
      </c>
      <c r="O190" s="892" t="s">
        <v>17</v>
      </c>
      <c r="P190" s="892" t="s">
        <v>37</v>
      </c>
      <c r="Q190" s="890" t="s">
        <v>26</v>
      </c>
      <c r="S190" s="80"/>
      <c r="T190" s="80"/>
    </row>
    <row r="191" spans="1:20" s="2" customFormat="1" ht="33.75">
      <c r="A191" s="886"/>
      <c r="B191" s="909"/>
      <c r="C191" s="888"/>
      <c r="D191" s="881"/>
      <c r="E191" s="881"/>
      <c r="F191" s="36" t="s">
        <v>18</v>
      </c>
      <c r="G191" s="36" t="s">
        <v>19</v>
      </c>
      <c r="H191" s="36" t="s">
        <v>20</v>
      </c>
      <c r="I191" s="36" t="s">
        <v>21</v>
      </c>
      <c r="J191" s="881"/>
      <c r="K191" s="881"/>
      <c r="L191" s="881"/>
      <c r="M191" s="881"/>
      <c r="N191" s="881"/>
      <c r="O191" s="893"/>
      <c r="P191" s="893"/>
      <c r="Q191" s="891"/>
      <c r="S191" s="80"/>
      <c r="T191" s="80"/>
    </row>
    <row r="192" spans="1:20" s="3" customFormat="1" ht="17.25" customHeight="1" thickBot="1">
      <c r="A192" s="887"/>
      <c r="B192" s="910"/>
      <c r="C192" s="889"/>
      <c r="D192" s="52" t="s">
        <v>7</v>
      </c>
      <c r="E192" s="52" t="s">
        <v>8</v>
      </c>
      <c r="F192" s="52" t="s">
        <v>9</v>
      </c>
      <c r="G192" s="52" t="s">
        <v>9</v>
      </c>
      <c r="H192" s="52" t="s">
        <v>9</v>
      </c>
      <c r="I192" s="52" t="s">
        <v>9</v>
      </c>
      <c r="J192" s="52" t="s">
        <v>22</v>
      </c>
      <c r="K192" s="52" t="s">
        <v>9</v>
      </c>
      <c r="L192" s="52" t="s">
        <v>22</v>
      </c>
      <c r="M192" s="52" t="s">
        <v>71</v>
      </c>
      <c r="N192" s="52" t="s">
        <v>10</v>
      </c>
      <c r="O192" s="52" t="s">
        <v>24</v>
      </c>
      <c r="P192" s="53" t="s">
        <v>38</v>
      </c>
      <c r="Q192" s="54" t="s">
        <v>28</v>
      </c>
      <c r="S192" s="80"/>
      <c r="T192" s="80"/>
    </row>
    <row r="193" spans="1:20" ht="12.75">
      <c r="A193" s="993" t="s">
        <v>51</v>
      </c>
      <c r="B193" s="30">
        <v>1</v>
      </c>
      <c r="C193" s="56" t="s">
        <v>259</v>
      </c>
      <c r="D193" s="55">
        <v>29</v>
      </c>
      <c r="E193" s="55">
        <v>1991</v>
      </c>
      <c r="F193" s="235">
        <v>21.08</v>
      </c>
      <c r="G193" s="235">
        <v>3.111</v>
      </c>
      <c r="H193" s="235">
        <v>4.56</v>
      </c>
      <c r="I193" s="235">
        <v>13.409</v>
      </c>
      <c r="J193" s="86">
        <v>1509.42</v>
      </c>
      <c r="K193" s="237">
        <v>13.409</v>
      </c>
      <c r="L193" s="86">
        <v>1509.42</v>
      </c>
      <c r="M193" s="237">
        <f aca="true" t="shared" si="38" ref="M193:M232">K193/L193</f>
        <v>0.008883544672788223</v>
      </c>
      <c r="N193" s="236">
        <v>257.241</v>
      </c>
      <c r="O193" s="238">
        <f aca="true" t="shared" si="39" ref="O193:O232">M193*N193</f>
        <v>2.2852119151727153</v>
      </c>
      <c r="P193" s="238">
        <f aca="true" t="shared" si="40" ref="P193:P232">M193*60*1000</f>
        <v>533.0126803672933</v>
      </c>
      <c r="Q193" s="239">
        <f aca="true" t="shared" si="41" ref="Q193:Q232">P193*N193/1000</f>
        <v>137.1127149103629</v>
      </c>
      <c r="R193" s="6"/>
      <c r="S193" s="80"/>
      <c r="T193" s="80"/>
    </row>
    <row r="194" spans="1:20" ht="12.75">
      <c r="A194" s="994"/>
      <c r="B194" s="55">
        <v>2</v>
      </c>
      <c r="C194" s="16" t="s">
        <v>260</v>
      </c>
      <c r="D194" s="31">
        <v>30</v>
      </c>
      <c r="E194" s="31">
        <v>1985</v>
      </c>
      <c r="F194" s="135">
        <v>23.174</v>
      </c>
      <c r="G194" s="135">
        <v>3.595</v>
      </c>
      <c r="H194" s="135">
        <v>4.8</v>
      </c>
      <c r="I194" s="135">
        <v>14.779</v>
      </c>
      <c r="J194" s="163">
        <v>1495.81</v>
      </c>
      <c r="K194" s="122">
        <v>14.779</v>
      </c>
      <c r="L194" s="163">
        <v>1495.81</v>
      </c>
      <c r="M194" s="122">
        <f t="shared" si="38"/>
        <v>0.009880265541746612</v>
      </c>
      <c r="N194" s="236">
        <v>257.241</v>
      </c>
      <c r="O194" s="121">
        <f t="shared" si="39"/>
        <v>2.54160938822444</v>
      </c>
      <c r="P194" s="238">
        <f t="shared" si="40"/>
        <v>592.8159325047967</v>
      </c>
      <c r="Q194" s="123">
        <f t="shared" si="41"/>
        <v>152.4965632934664</v>
      </c>
      <c r="S194" s="80"/>
      <c r="T194" s="80"/>
    </row>
    <row r="195" spans="1:20" ht="12.75">
      <c r="A195" s="916"/>
      <c r="B195" s="31">
        <v>3</v>
      </c>
      <c r="C195" s="16" t="s">
        <v>261</v>
      </c>
      <c r="D195" s="31">
        <v>30</v>
      </c>
      <c r="E195" s="31">
        <v>1987</v>
      </c>
      <c r="F195" s="135">
        <v>23.98</v>
      </c>
      <c r="G195" s="135">
        <v>3.09</v>
      </c>
      <c r="H195" s="135">
        <v>4.8</v>
      </c>
      <c r="I195" s="135">
        <v>16.09</v>
      </c>
      <c r="J195" s="163">
        <v>1596.15</v>
      </c>
      <c r="K195" s="122">
        <v>16.09</v>
      </c>
      <c r="L195" s="163">
        <v>1596.15</v>
      </c>
      <c r="M195" s="122">
        <f t="shared" si="38"/>
        <v>0.010080506218087272</v>
      </c>
      <c r="N195" s="236">
        <v>257.241</v>
      </c>
      <c r="O195" s="121">
        <f t="shared" si="39"/>
        <v>2.5931195000469875</v>
      </c>
      <c r="P195" s="238">
        <f t="shared" si="40"/>
        <v>604.8303730852364</v>
      </c>
      <c r="Q195" s="123">
        <f t="shared" si="41"/>
        <v>155.58717000281928</v>
      </c>
      <c r="S195" s="80"/>
      <c r="T195" s="80"/>
    </row>
    <row r="196" spans="1:20" ht="12.75">
      <c r="A196" s="916"/>
      <c r="B196" s="31">
        <v>4</v>
      </c>
      <c r="C196" s="16" t="s">
        <v>262</v>
      </c>
      <c r="D196" s="31">
        <v>75</v>
      </c>
      <c r="E196" s="31">
        <v>1976</v>
      </c>
      <c r="F196" s="135">
        <v>61.31</v>
      </c>
      <c r="G196" s="135">
        <v>8.751</v>
      </c>
      <c r="H196" s="135">
        <v>12</v>
      </c>
      <c r="I196" s="135">
        <v>40.559</v>
      </c>
      <c r="J196" s="163">
        <v>3969.47</v>
      </c>
      <c r="K196" s="122">
        <v>40.559</v>
      </c>
      <c r="L196" s="163">
        <v>3969.47</v>
      </c>
      <c r="M196" s="122">
        <f t="shared" si="38"/>
        <v>0.0102177368767115</v>
      </c>
      <c r="N196" s="236">
        <v>257.241</v>
      </c>
      <c r="O196" s="121">
        <f t="shared" si="39"/>
        <v>2.628420851902143</v>
      </c>
      <c r="P196" s="238">
        <f t="shared" si="40"/>
        <v>613.06421260269</v>
      </c>
      <c r="Q196" s="123">
        <f t="shared" si="41"/>
        <v>157.70525111412857</v>
      </c>
      <c r="S196" s="80"/>
      <c r="T196" s="80"/>
    </row>
    <row r="197" spans="1:20" ht="12.75">
      <c r="A197" s="916"/>
      <c r="B197" s="31">
        <v>5</v>
      </c>
      <c r="C197" s="16" t="s">
        <v>263</v>
      </c>
      <c r="D197" s="31">
        <v>60</v>
      </c>
      <c r="E197" s="31">
        <v>1971</v>
      </c>
      <c r="F197" s="135">
        <v>44.467</v>
      </c>
      <c r="G197" s="135">
        <v>5.726</v>
      </c>
      <c r="H197" s="135">
        <v>9.6</v>
      </c>
      <c r="I197" s="135">
        <v>29.141</v>
      </c>
      <c r="J197" s="163">
        <v>2799.04</v>
      </c>
      <c r="K197" s="122">
        <v>29.141</v>
      </c>
      <c r="L197" s="163">
        <v>2799.04</v>
      </c>
      <c r="M197" s="122">
        <f t="shared" si="38"/>
        <v>0.01041106950954613</v>
      </c>
      <c r="N197" s="236">
        <v>257.241</v>
      </c>
      <c r="O197" s="121">
        <f t="shared" si="39"/>
        <v>2.6781539317051557</v>
      </c>
      <c r="P197" s="238">
        <f t="shared" si="40"/>
        <v>624.6641705727678</v>
      </c>
      <c r="Q197" s="123">
        <f t="shared" si="41"/>
        <v>160.68923590230935</v>
      </c>
      <c r="S197" s="80"/>
      <c r="T197" s="80"/>
    </row>
    <row r="198" spans="1:20" ht="12.75">
      <c r="A198" s="916"/>
      <c r="B198" s="31">
        <v>6</v>
      </c>
      <c r="C198" s="16" t="s">
        <v>264</v>
      </c>
      <c r="D198" s="31">
        <v>30</v>
      </c>
      <c r="E198" s="31">
        <v>1969</v>
      </c>
      <c r="F198" s="135">
        <v>34.934</v>
      </c>
      <c r="G198" s="135">
        <v>5.246</v>
      </c>
      <c r="H198" s="135">
        <v>2.33</v>
      </c>
      <c r="I198" s="135">
        <v>27.358</v>
      </c>
      <c r="J198" s="163">
        <v>2606.4</v>
      </c>
      <c r="K198" s="122">
        <v>27.358</v>
      </c>
      <c r="L198" s="163">
        <v>2606.4</v>
      </c>
      <c r="M198" s="122">
        <f t="shared" si="38"/>
        <v>0.01049647022713321</v>
      </c>
      <c r="N198" s="236">
        <v>257.241</v>
      </c>
      <c r="O198" s="121">
        <f t="shared" si="39"/>
        <v>2.700122497697974</v>
      </c>
      <c r="P198" s="238">
        <f t="shared" si="40"/>
        <v>629.7882136279926</v>
      </c>
      <c r="Q198" s="123">
        <f t="shared" si="41"/>
        <v>162.00734986187842</v>
      </c>
      <c r="S198" s="80"/>
      <c r="T198" s="80"/>
    </row>
    <row r="199" spans="1:20" ht="12.75">
      <c r="A199" s="916"/>
      <c r="B199" s="31">
        <v>7</v>
      </c>
      <c r="C199" s="16" t="s">
        <v>265</v>
      </c>
      <c r="D199" s="31">
        <v>45</v>
      </c>
      <c r="E199" s="31">
        <v>1973</v>
      </c>
      <c r="F199" s="135">
        <v>37.014</v>
      </c>
      <c r="G199" s="135">
        <v>4.707</v>
      </c>
      <c r="H199" s="135">
        <v>7.2</v>
      </c>
      <c r="I199" s="135">
        <v>25.107</v>
      </c>
      <c r="J199" s="163">
        <v>2317.74</v>
      </c>
      <c r="K199" s="122">
        <v>25.107</v>
      </c>
      <c r="L199" s="163">
        <v>2317.74</v>
      </c>
      <c r="M199" s="122">
        <f t="shared" si="38"/>
        <v>0.010832535141991768</v>
      </c>
      <c r="N199" s="236">
        <v>257.241</v>
      </c>
      <c r="O199" s="121">
        <f t="shared" si="39"/>
        <v>2.786572172461104</v>
      </c>
      <c r="P199" s="238">
        <f t="shared" si="40"/>
        <v>649.9521085195062</v>
      </c>
      <c r="Q199" s="123">
        <f t="shared" si="41"/>
        <v>167.1943303476663</v>
      </c>
      <c r="S199" s="80"/>
      <c r="T199" s="80"/>
    </row>
    <row r="200" spans="1:20" ht="12.75">
      <c r="A200" s="916"/>
      <c r="B200" s="31">
        <v>8</v>
      </c>
      <c r="C200" s="16" t="s">
        <v>266</v>
      </c>
      <c r="D200" s="31">
        <v>45</v>
      </c>
      <c r="E200" s="31">
        <v>1979</v>
      </c>
      <c r="F200" s="135">
        <v>37.596</v>
      </c>
      <c r="G200" s="135">
        <v>5.252</v>
      </c>
      <c r="H200" s="135">
        <v>7.2</v>
      </c>
      <c r="I200" s="135">
        <v>25.144</v>
      </c>
      <c r="J200" s="163">
        <v>2321.07</v>
      </c>
      <c r="K200" s="122">
        <v>25.144</v>
      </c>
      <c r="L200" s="163">
        <v>2321.07</v>
      </c>
      <c r="M200" s="122">
        <f t="shared" si="38"/>
        <v>0.01083293481023838</v>
      </c>
      <c r="N200" s="236">
        <v>257.241</v>
      </c>
      <c r="O200" s="121">
        <f t="shared" si="39"/>
        <v>2.786674983520531</v>
      </c>
      <c r="P200" s="238">
        <f t="shared" si="40"/>
        <v>649.9760886143027</v>
      </c>
      <c r="Q200" s="123">
        <f t="shared" si="41"/>
        <v>167.20049901123184</v>
      </c>
      <c r="S200" s="80"/>
      <c r="T200" s="80"/>
    </row>
    <row r="201" spans="1:20" ht="12.75">
      <c r="A201" s="916"/>
      <c r="B201" s="31">
        <v>9</v>
      </c>
      <c r="C201" s="16" t="s">
        <v>267</v>
      </c>
      <c r="D201" s="31">
        <v>30</v>
      </c>
      <c r="E201" s="31">
        <v>1980</v>
      </c>
      <c r="F201" s="135">
        <v>24.251</v>
      </c>
      <c r="G201" s="135">
        <v>2.982</v>
      </c>
      <c r="H201" s="135">
        <v>4.8</v>
      </c>
      <c r="I201" s="135">
        <v>16.469</v>
      </c>
      <c r="J201" s="163">
        <v>1495.88</v>
      </c>
      <c r="K201" s="122">
        <v>16.469</v>
      </c>
      <c r="L201" s="163">
        <v>1495.88</v>
      </c>
      <c r="M201" s="122">
        <f t="shared" si="38"/>
        <v>0.011009572960397894</v>
      </c>
      <c r="N201" s="236">
        <v>257.241</v>
      </c>
      <c r="O201" s="121">
        <f t="shared" si="39"/>
        <v>2.832113557905714</v>
      </c>
      <c r="P201" s="238">
        <f t="shared" si="40"/>
        <v>660.5743776238736</v>
      </c>
      <c r="Q201" s="123">
        <f t="shared" si="41"/>
        <v>169.92681347434288</v>
      </c>
      <c r="S201" s="80"/>
      <c r="T201" s="80"/>
    </row>
    <row r="202" spans="1:20" ht="13.5" thickBot="1">
      <c r="A202" s="942"/>
      <c r="B202" s="57">
        <v>10</v>
      </c>
      <c r="C202" s="58" t="s">
        <v>268</v>
      </c>
      <c r="D202" s="57">
        <v>34</v>
      </c>
      <c r="E202" s="57">
        <v>1983</v>
      </c>
      <c r="F202" s="203">
        <v>32.05</v>
      </c>
      <c r="G202" s="203">
        <v>3.017</v>
      </c>
      <c r="H202" s="203">
        <v>5.12</v>
      </c>
      <c r="I202" s="203">
        <v>23.913</v>
      </c>
      <c r="J202" s="163">
        <v>2162.72</v>
      </c>
      <c r="K202" s="122">
        <v>23.913</v>
      </c>
      <c r="L202" s="163">
        <v>2162.72</v>
      </c>
      <c r="M202" s="125">
        <f t="shared" si="38"/>
        <v>0.011056909817267147</v>
      </c>
      <c r="N202" s="124">
        <v>257.241</v>
      </c>
      <c r="O202" s="425">
        <f t="shared" si="39"/>
        <v>2.8442905383036177</v>
      </c>
      <c r="P202" s="124">
        <f t="shared" si="40"/>
        <v>663.4145890360288</v>
      </c>
      <c r="Q202" s="126">
        <f t="shared" si="41"/>
        <v>170.6574322982171</v>
      </c>
      <c r="S202" s="80"/>
      <c r="T202" s="80"/>
    </row>
    <row r="203" spans="1:20" ht="12.75">
      <c r="A203" s="995" t="s">
        <v>46</v>
      </c>
      <c r="B203" s="33">
        <v>1</v>
      </c>
      <c r="C203" s="81" t="s">
        <v>269</v>
      </c>
      <c r="D203" s="60">
        <v>22</v>
      </c>
      <c r="E203" s="60">
        <v>1989</v>
      </c>
      <c r="F203" s="252">
        <v>22.38</v>
      </c>
      <c r="G203" s="252">
        <v>2.107</v>
      </c>
      <c r="H203" s="252">
        <v>3.52</v>
      </c>
      <c r="I203" s="252">
        <v>16.753</v>
      </c>
      <c r="J203" s="397">
        <v>1176.23</v>
      </c>
      <c r="K203" s="405">
        <v>16.753</v>
      </c>
      <c r="L203" s="397">
        <v>1176.23</v>
      </c>
      <c r="M203" s="136">
        <f t="shared" si="38"/>
        <v>0.01424296268586926</v>
      </c>
      <c r="N203" s="137">
        <v>257.241</v>
      </c>
      <c r="O203" s="137">
        <f t="shared" si="39"/>
        <v>3.663873964275694</v>
      </c>
      <c r="P203" s="137">
        <f t="shared" si="40"/>
        <v>854.5777611521556</v>
      </c>
      <c r="Q203" s="157">
        <f t="shared" si="41"/>
        <v>219.83243785654165</v>
      </c>
      <c r="S203" s="80"/>
      <c r="T203" s="80"/>
    </row>
    <row r="204" spans="1:20" ht="12.75">
      <c r="A204" s="996"/>
      <c r="B204" s="35">
        <v>2</v>
      </c>
      <c r="C204" s="34" t="s">
        <v>270</v>
      </c>
      <c r="D204" s="35">
        <v>36</v>
      </c>
      <c r="E204" s="35">
        <v>1991</v>
      </c>
      <c r="F204" s="248">
        <v>43.594</v>
      </c>
      <c r="G204" s="248">
        <v>4.55</v>
      </c>
      <c r="H204" s="248">
        <v>5.76</v>
      </c>
      <c r="I204" s="248">
        <v>33.284</v>
      </c>
      <c r="J204" s="110">
        <v>2333.9</v>
      </c>
      <c r="K204" s="128">
        <v>33.284</v>
      </c>
      <c r="L204" s="110">
        <v>2333.9</v>
      </c>
      <c r="M204" s="136">
        <f t="shared" si="38"/>
        <v>0.014261108016624533</v>
      </c>
      <c r="N204" s="137">
        <v>257.241</v>
      </c>
      <c r="O204" s="137">
        <f t="shared" si="39"/>
        <v>3.6685416873045114</v>
      </c>
      <c r="P204" s="137">
        <f t="shared" si="40"/>
        <v>855.666480997472</v>
      </c>
      <c r="Q204" s="157">
        <f t="shared" si="41"/>
        <v>220.11250123827068</v>
      </c>
      <c r="S204" s="80"/>
      <c r="T204" s="80"/>
    </row>
    <row r="205" spans="1:20" ht="12.75">
      <c r="A205" s="996"/>
      <c r="B205" s="35">
        <v>3</v>
      </c>
      <c r="C205" s="34" t="s">
        <v>271</v>
      </c>
      <c r="D205" s="35">
        <v>61</v>
      </c>
      <c r="E205" s="35">
        <v>1965</v>
      </c>
      <c r="F205" s="248">
        <v>53.9</v>
      </c>
      <c r="G205" s="248">
        <v>4.115</v>
      </c>
      <c r="H205" s="248">
        <v>9.6</v>
      </c>
      <c r="I205" s="248">
        <v>40.185</v>
      </c>
      <c r="J205" s="110">
        <v>2734.52</v>
      </c>
      <c r="K205" s="128">
        <v>40.185</v>
      </c>
      <c r="L205" s="110">
        <v>2734.52</v>
      </c>
      <c r="M205" s="128">
        <f t="shared" si="38"/>
        <v>0.014695449292746077</v>
      </c>
      <c r="N205" s="137">
        <v>257.241</v>
      </c>
      <c r="O205" s="137">
        <f t="shared" si="39"/>
        <v>3.7802720715152933</v>
      </c>
      <c r="P205" s="137">
        <f t="shared" si="40"/>
        <v>881.7269575647646</v>
      </c>
      <c r="Q205" s="155">
        <f t="shared" si="41"/>
        <v>226.8163242909176</v>
      </c>
      <c r="S205" s="80"/>
      <c r="T205" s="80"/>
    </row>
    <row r="206" spans="1:20" ht="12.75">
      <c r="A206" s="996"/>
      <c r="B206" s="35">
        <v>4</v>
      </c>
      <c r="C206" s="34" t="s">
        <v>272</v>
      </c>
      <c r="D206" s="35">
        <v>100</v>
      </c>
      <c r="E206" s="35">
        <v>1969</v>
      </c>
      <c r="F206" s="248">
        <v>90.257</v>
      </c>
      <c r="G206" s="248">
        <v>8.704</v>
      </c>
      <c r="H206" s="248">
        <v>16</v>
      </c>
      <c r="I206" s="248">
        <v>65.553</v>
      </c>
      <c r="J206" s="110">
        <v>4454.22</v>
      </c>
      <c r="K206" s="128">
        <v>65.553</v>
      </c>
      <c r="L206" s="110">
        <v>4454.22</v>
      </c>
      <c r="M206" s="128">
        <f t="shared" si="38"/>
        <v>0.014717054837884073</v>
      </c>
      <c r="N206" s="137">
        <v>257.241</v>
      </c>
      <c r="O206" s="127">
        <f t="shared" si="39"/>
        <v>3.7858299035521368</v>
      </c>
      <c r="P206" s="137">
        <f t="shared" si="40"/>
        <v>883.0232902730444</v>
      </c>
      <c r="Q206" s="155">
        <f t="shared" si="41"/>
        <v>227.1497942131282</v>
      </c>
      <c r="S206" s="80"/>
      <c r="T206" s="80"/>
    </row>
    <row r="207" spans="1:20" ht="12.75">
      <c r="A207" s="996"/>
      <c r="B207" s="35">
        <v>5</v>
      </c>
      <c r="C207" s="34" t="s">
        <v>273</v>
      </c>
      <c r="D207" s="35">
        <v>54</v>
      </c>
      <c r="E207" s="35">
        <v>2007</v>
      </c>
      <c r="F207" s="248">
        <v>52.864</v>
      </c>
      <c r="G207" s="248">
        <v>4.641</v>
      </c>
      <c r="H207" s="248">
        <v>1.871</v>
      </c>
      <c r="I207" s="248">
        <v>46.352</v>
      </c>
      <c r="J207" s="110">
        <v>3133.4</v>
      </c>
      <c r="K207" s="128">
        <v>46.352</v>
      </c>
      <c r="L207" s="110">
        <v>3133.4</v>
      </c>
      <c r="M207" s="128">
        <f t="shared" si="38"/>
        <v>0.014792876747303247</v>
      </c>
      <c r="N207" s="137">
        <v>257.241</v>
      </c>
      <c r="O207" s="127">
        <f t="shared" si="39"/>
        <v>3.805334407353034</v>
      </c>
      <c r="P207" s="137">
        <f t="shared" si="40"/>
        <v>887.5726048381948</v>
      </c>
      <c r="Q207" s="155">
        <f t="shared" si="41"/>
        <v>228.32006444118207</v>
      </c>
      <c r="S207" s="80"/>
      <c r="T207" s="80"/>
    </row>
    <row r="208" spans="1:20" ht="12.75">
      <c r="A208" s="996"/>
      <c r="B208" s="35">
        <v>6</v>
      </c>
      <c r="C208" s="34" t="s">
        <v>274</v>
      </c>
      <c r="D208" s="35">
        <v>60</v>
      </c>
      <c r="E208" s="35">
        <v>1966</v>
      </c>
      <c r="F208" s="248">
        <v>57.238</v>
      </c>
      <c r="G208" s="248">
        <v>6.5</v>
      </c>
      <c r="H208" s="248">
        <v>9.6</v>
      </c>
      <c r="I208" s="248">
        <v>41.138</v>
      </c>
      <c r="J208" s="110">
        <v>2721.63</v>
      </c>
      <c r="K208" s="128">
        <v>41.138</v>
      </c>
      <c r="L208" s="110">
        <v>2721.63</v>
      </c>
      <c r="M208" s="128">
        <f t="shared" si="38"/>
        <v>0.01511520669598733</v>
      </c>
      <c r="N208" s="137">
        <v>257.241</v>
      </c>
      <c r="O208" s="127">
        <f t="shared" si="39"/>
        <v>3.8882508856824765</v>
      </c>
      <c r="P208" s="137">
        <f t="shared" si="40"/>
        <v>906.9124017592399</v>
      </c>
      <c r="Q208" s="155">
        <f t="shared" si="41"/>
        <v>233.29505314094862</v>
      </c>
      <c r="S208" s="80"/>
      <c r="T208" s="80"/>
    </row>
    <row r="209" spans="1:20" ht="12.75">
      <c r="A209" s="996"/>
      <c r="B209" s="35">
        <v>7</v>
      </c>
      <c r="C209" s="34" t="s">
        <v>275</v>
      </c>
      <c r="D209" s="35">
        <v>100</v>
      </c>
      <c r="E209" s="35">
        <v>1969</v>
      </c>
      <c r="F209" s="248">
        <v>91.37</v>
      </c>
      <c r="G209" s="248">
        <v>7.976</v>
      </c>
      <c r="H209" s="248">
        <v>15.92</v>
      </c>
      <c r="I209" s="248">
        <v>67.474</v>
      </c>
      <c r="J209" s="110">
        <v>4440.95</v>
      </c>
      <c r="K209" s="128">
        <v>67.474</v>
      </c>
      <c r="L209" s="110">
        <v>4440.95</v>
      </c>
      <c r="M209" s="128">
        <f t="shared" si="38"/>
        <v>0.015193595964827347</v>
      </c>
      <c r="N209" s="137">
        <v>257.241</v>
      </c>
      <c r="O209" s="127">
        <f t="shared" si="39"/>
        <v>3.9084158195881513</v>
      </c>
      <c r="P209" s="137">
        <f t="shared" si="40"/>
        <v>911.6157578896409</v>
      </c>
      <c r="Q209" s="155">
        <f t="shared" si="41"/>
        <v>234.5049491752891</v>
      </c>
      <c r="S209" s="80"/>
      <c r="T209" s="80"/>
    </row>
    <row r="210" spans="1:20" ht="12.75">
      <c r="A210" s="996"/>
      <c r="B210" s="35">
        <v>8</v>
      </c>
      <c r="C210" s="34" t="s">
        <v>276</v>
      </c>
      <c r="D210" s="35">
        <v>100</v>
      </c>
      <c r="E210" s="35">
        <v>1969</v>
      </c>
      <c r="F210" s="248">
        <v>96.2</v>
      </c>
      <c r="G210" s="248">
        <v>9.197</v>
      </c>
      <c r="H210" s="248">
        <v>16</v>
      </c>
      <c r="I210" s="248">
        <v>71.003</v>
      </c>
      <c r="J210" s="110">
        <v>4628.7</v>
      </c>
      <c r="K210" s="128">
        <v>71.003</v>
      </c>
      <c r="L210" s="110">
        <v>4628.7</v>
      </c>
      <c r="M210" s="128">
        <f t="shared" si="38"/>
        <v>0.01533972821742606</v>
      </c>
      <c r="N210" s="137">
        <v>257.241</v>
      </c>
      <c r="O210" s="127">
        <f t="shared" si="39"/>
        <v>3.946007026378897</v>
      </c>
      <c r="P210" s="137">
        <f t="shared" si="40"/>
        <v>920.3836930455635</v>
      </c>
      <c r="Q210" s="155">
        <f t="shared" si="41"/>
        <v>236.7604215827338</v>
      </c>
      <c r="S210" s="80"/>
      <c r="T210" s="80"/>
    </row>
    <row r="211" spans="1:20" ht="12.75">
      <c r="A211" s="996"/>
      <c r="B211" s="35">
        <v>9</v>
      </c>
      <c r="C211" s="34" t="s">
        <v>277</v>
      </c>
      <c r="D211" s="35">
        <v>60</v>
      </c>
      <c r="E211" s="35">
        <v>1966</v>
      </c>
      <c r="F211" s="248">
        <v>57.927</v>
      </c>
      <c r="G211" s="248">
        <v>6.448</v>
      </c>
      <c r="H211" s="248">
        <v>9.6</v>
      </c>
      <c r="I211" s="248">
        <v>41.879</v>
      </c>
      <c r="J211" s="110">
        <v>2717.9</v>
      </c>
      <c r="K211" s="128">
        <v>41.879</v>
      </c>
      <c r="L211" s="110">
        <v>2717.9</v>
      </c>
      <c r="M211" s="128">
        <f t="shared" si="38"/>
        <v>0.015408587512417674</v>
      </c>
      <c r="N211" s="137">
        <v>257.241</v>
      </c>
      <c r="O211" s="127">
        <f t="shared" si="39"/>
        <v>3.963720460281835</v>
      </c>
      <c r="P211" s="137">
        <f t="shared" si="40"/>
        <v>924.5152507450605</v>
      </c>
      <c r="Q211" s="155">
        <f t="shared" si="41"/>
        <v>237.8232276169101</v>
      </c>
      <c r="S211" s="80"/>
      <c r="T211" s="80"/>
    </row>
    <row r="212" spans="1:20" ht="13.5" customHeight="1" thickBot="1">
      <c r="A212" s="997"/>
      <c r="B212" s="37">
        <v>10</v>
      </c>
      <c r="C212" s="76" t="s">
        <v>278</v>
      </c>
      <c r="D212" s="37">
        <v>119</v>
      </c>
      <c r="E212" s="37">
        <v>1971</v>
      </c>
      <c r="F212" s="250">
        <v>119.236</v>
      </c>
      <c r="G212" s="250">
        <v>11.249</v>
      </c>
      <c r="H212" s="250">
        <v>19.04</v>
      </c>
      <c r="I212" s="250">
        <v>88.947</v>
      </c>
      <c r="J212" s="171">
        <v>5772.18</v>
      </c>
      <c r="K212" s="205">
        <v>88.947</v>
      </c>
      <c r="L212" s="171">
        <v>5772.18</v>
      </c>
      <c r="M212" s="205">
        <f t="shared" si="38"/>
        <v>0.015409602611145183</v>
      </c>
      <c r="N212" s="158">
        <v>257.241</v>
      </c>
      <c r="O212" s="158">
        <f t="shared" si="39"/>
        <v>3.9639815852935976</v>
      </c>
      <c r="P212" s="158">
        <f t="shared" si="40"/>
        <v>924.576156668711</v>
      </c>
      <c r="Q212" s="159">
        <f t="shared" si="41"/>
        <v>237.83889511761586</v>
      </c>
      <c r="S212" s="80"/>
      <c r="T212" s="80"/>
    </row>
    <row r="213" spans="1:20" ht="11.25" customHeight="1">
      <c r="A213" s="1001" t="s">
        <v>47</v>
      </c>
      <c r="B213" s="218">
        <v>1</v>
      </c>
      <c r="C213" s="254" t="s">
        <v>279</v>
      </c>
      <c r="D213" s="218">
        <v>30</v>
      </c>
      <c r="E213" s="218">
        <v>1979</v>
      </c>
      <c r="F213" s="389">
        <v>41.718</v>
      </c>
      <c r="G213" s="389">
        <v>2.837</v>
      </c>
      <c r="H213" s="389">
        <v>4.8</v>
      </c>
      <c r="I213" s="389">
        <v>34.081</v>
      </c>
      <c r="J213" s="399">
        <v>1492.22</v>
      </c>
      <c r="K213" s="409">
        <v>34.081</v>
      </c>
      <c r="L213" s="331">
        <v>1492.22</v>
      </c>
      <c r="M213" s="268">
        <f t="shared" si="38"/>
        <v>0.02283912559810216</v>
      </c>
      <c r="N213" s="267">
        <v>257.241</v>
      </c>
      <c r="O213" s="267">
        <f t="shared" si="39"/>
        <v>5.875159507981397</v>
      </c>
      <c r="P213" s="267">
        <f t="shared" si="40"/>
        <v>1370.3475358861297</v>
      </c>
      <c r="Q213" s="269">
        <f t="shared" si="41"/>
        <v>352.50957047888386</v>
      </c>
      <c r="S213" s="80"/>
      <c r="T213" s="80"/>
    </row>
    <row r="214" spans="1:20" ht="12.75">
      <c r="A214" s="939"/>
      <c r="B214" s="219">
        <v>2</v>
      </c>
      <c r="C214" s="256" t="s">
        <v>280</v>
      </c>
      <c r="D214" s="219">
        <v>45</v>
      </c>
      <c r="E214" s="219">
        <v>1967</v>
      </c>
      <c r="F214" s="270">
        <v>51.27</v>
      </c>
      <c r="G214" s="270">
        <v>4.847</v>
      </c>
      <c r="H214" s="270">
        <v>0.45</v>
      </c>
      <c r="I214" s="270">
        <v>45.973</v>
      </c>
      <c r="J214" s="261">
        <v>1869.57</v>
      </c>
      <c r="K214" s="272">
        <v>45.973</v>
      </c>
      <c r="L214" s="261">
        <v>1869.57</v>
      </c>
      <c r="M214" s="272">
        <f t="shared" si="38"/>
        <v>0.024590146397299915</v>
      </c>
      <c r="N214" s="267">
        <v>257.241</v>
      </c>
      <c r="O214" s="271">
        <f t="shared" si="39"/>
        <v>6.325593849387827</v>
      </c>
      <c r="P214" s="267">
        <f t="shared" si="40"/>
        <v>1475.408783837995</v>
      </c>
      <c r="Q214" s="273">
        <f t="shared" si="41"/>
        <v>379.5356309632697</v>
      </c>
      <c r="S214" s="80"/>
      <c r="T214" s="80"/>
    </row>
    <row r="215" spans="1:20" ht="12.75">
      <c r="A215" s="939"/>
      <c r="B215" s="219">
        <v>3</v>
      </c>
      <c r="C215" s="256" t="s">
        <v>281</v>
      </c>
      <c r="D215" s="219">
        <v>22</v>
      </c>
      <c r="E215" s="219">
        <v>1976</v>
      </c>
      <c r="F215" s="270">
        <v>36.45</v>
      </c>
      <c r="G215" s="270">
        <v>3.511</v>
      </c>
      <c r="H215" s="270">
        <v>3.52</v>
      </c>
      <c r="I215" s="270">
        <v>29.419</v>
      </c>
      <c r="J215" s="261">
        <v>1170.7</v>
      </c>
      <c r="K215" s="272">
        <v>29.419</v>
      </c>
      <c r="L215" s="261">
        <v>1170.7</v>
      </c>
      <c r="M215" s="272">
        <f t="shared" si="38"/>
        <v>0.025129409754847527</v>
      </c>
      <c r="N215" s="267">
        <v>257.241</v>
      </c>
      <c r="O215" s="271">
        <f t="shared" si="39"/>
        <v>6.464314494746732</v>
      </c>
      <c r="P215" s="267">
        <f t="shared" si="40"/>
        <v>1507.7645852908518</v>
      </c>
      <c r="Q215" s="273">
        <f t="shared" si="41"/>
        <v>387.858869684804</v>
      </c>
      <c r="S215" s="80"/>
      <c r="T215" s="80"/>
    </row>
    <row r="216" spans="1:20" ht="12.75">
      <c r="A216" s="939"/>
      <c r="B216" s="219">
        <v>4</v>
      </c>
      <c r="C216" s="256" t="s">
        <v>282</v>
      </c>
      <c r="D216" s="219">
        <v>70</v>
      </c>
      <c r="E216" s="219">
        <v>1962</v>
      </c>
      <c r="F216" s="270">
        <v>91.09</v>
      </c>
      <c r="G216" s="270">
        <v>6.46</v>
      </c>
      <c r="H216" s="270">
        <v>0.7</v>
      </c>
      <c r="I216" s="270">
        <v>83.93</v>
      </c>
      <c r="J216" s="261">
        <v>3026.03</v>
      </c>
      <c r="K216" s="272">
        <v>83.93</v>
      </c>
      <c r="L216" s="261">
        <v>3026.03</v>
      </c>
      <c r="M216" s="272">
        <f t="shared" si="38"/>
        <v>0.027736010548474403</v>
      </c>
      <c r="N216" s="267">
        <v>257.241</v>
      </c>
      <c r="O216" s="271">
        <f t="shared" si="39"/>
        <v>7.134839089500104</v>
      </c>
      <c r="P216" s="267">
        <f t="shared" si="40"/>
        <v>1664.160632908464</v>
      </c>
      <c r="Q216" s="273">
        <f t="shared" si="41"/>
        <v>428.09034537000616</v>
      </c>
      <c r="S216" s="80"/>
      <c r="T216" s="80"/>
    </row>
    <row r="217" spans="1:20" ht="12.75">
      <c r="A217" s="939"/>
      <c r="B217" s="219">
        <v>5</v>
      </c>
      <c r="C217" s="256" t="s">
        <v>283</v>
      </c>
      <c r="D217" s="219">
        <v>40</v>
      </c>
      <c r="E217" s="219">
        <v>1962</v>
      </c>
      <c r="F217" s="270">
        <v>57.839</v>
      </c>
      <c r="G217" s="270">
        <v>3.247</v>
      </c>
      <c r="H217" s="270">
        <v>0.4</v>
      </c>
      <c r="I217" s="270">
        <v>54.192</v>
      </c>
      <c r="J217" s="261">
        <v>1847.46</v>
      </c>
      <c r="K217" s="272">
        <v>54.192</v>
      </c>
      <c r="L217" s="261">
        <v>1847.46</v>
      </c>
      <c r="M217" s="272">
        <f t="shared" si="38"/>
        <v>0.029333246727939983</v>
      </c>
      <c r="N217" s="267">
        <v>257.241</v>
      </c>
      <c r="O217" s="271">
        <f t="shared" si="39"/>
        <v>7.5457137215420085</v>
      </c>
      <c r="P217" s="267">
        <f t="shared" si="40"/>
        <v>1759.994803676399</v>
      </c>
      <c r="Q217" s="273">
        <f t="shared" si="41"/>
        <v>452.74282329252054</v>
      </c>
      <c r="S217" s="80"/>
      <c r="T217" s="80"/>
    </row>
    <row r="218" spans="1:20" ht="12.75">
      <c r="A218" s="939"/>
      <c r="B218" s="219">
        <v>6</v>
      </c>
      <c r="C218" s="256" t="s">
        <v>284</v>
      </c>
      <c r="D218" s="219">
        <v>93</v>
      </c>
      <c r="E218" s="219">
        <v>1962</v>
      </c>
      <c r="F218" s="270">
        <v>64.373</v>
      </c>
      <c r="G218" s="270">
        <v>7.535</v>
      </c>
      <c r="H218" s="558">
        <v>0.93</v>
      </c>
      <c r="I218" s="270">
        <v>55.908</v>
      </c>
      <c r="J218" s="261">
        <v>1901.51</v>
      </c>
      <c r="K218" s="272">
        <v>53.11</v>
      </c>
      <c r="L218" s="261">
        <v>1806.34</v>
      </c>
      <c r="M218" s="272">
        <f t="shared" si="38"/>
        <v>0.0294019951947031</v>
      </c>
      <c r="N218" s="267">
        <v>257.241</v>
      </c>
      <c r="O218" s="271">
        <f t="shared" si="39"/>
        <v>7.56339864588062</v>
      </c>
      <c r="P218" s="267">
        <f t="shared" si="40"/>
        <v>1764.119711682186</v>
      </c>
      <c r="Q218" s="273">
        <f t="shared" si="41"/>
        <v>453.8039187528372</v>
      </c>
      <c r="S218" s="80"/>
      <c r="T218" s="80"/>
    </row>
    <row r="219" spans="1:20" ht="12.75">
      <c r="A219" s="939"/>
      <c r="B219" s="219">
        <v>7</v>
      </c>
      <c r="C219" s="256" t="s">
        <v>285</v>
      </c>
      <c r="D219" s="219">
        <v>65</v>
      </c>
      <c r="E219" s="219">
        <v>1963</v>
      </c>
      <c r="F219" s="270">
        <v>56.059</v>
      </c>
      <c r="G219" s="270">
        <v>3.483</v>
      </c>
      <c r="H219" s="558">
        <v>0.65</v>
      </c>
      <c r="I219" s="270">
        <v>51.926</v>
      </c>
      <c r="J219" s="261">
        <v>1573.98</v>
      </c>
      <c r="K219" s="272">
        <v>51.926</v>
      </c>
      <c r="L219" s="261">
        <v>1573.98</v>
      </c>
      <c r="M219" s="272">
        <f t="shared" si="38"/>
        <v>0.03299025400576882</v>
      </c>
      <c r="N219" s="267">
        <v>257.241</v>
      </c>
      <c r="O219" s="271">
        <f t="shared" si="39"/>
        <v>8.486445930697977</v>
      </c>
      <c r="P219" s="267">
        <f t="shared" si="40"/>
        <v>1979.4152403461292</v>
      </c>
      <c r="Q219" s="273">
        <f t="shared" si="41"/>
        <v>509.1867558418786</v>
      </c>
      <c r="S219" s="80"/>
      <c r="T219" s="80"/>
    </row>
    <row r="220" spans="1:20" ht="12.75">
      <c r="A220" s="939"/>
      <c r="B220" s="219">
        <v>8</v>
      </c>
      <c r="C220" s="256" t="s">
        <v>286</v>
      </c>
      <c r="D220" s="219">
        <v>40</v>
      </c>
      <c r="E220" s="219">
        <v>1961</v>
      </c>
      <c r="F220" s="270">
        <v>62.456</v>
      </c>
      <c r="G220" s="270">
        <v>3.932</v>
      </c>
      <c r="H220" s="558">
        <v>0.4</v>
      </c>
      <c r="I220" s="270">
        <v>58.124</v>
      </c>
      <c r="J220" s="261">
        <v>1732.11</v>
      </c>
      <c r="K220" s="272">
        <v>58.124</v>
      </c>
      <c r="L220" s="261">
        <v>1732.11</v>
      </c>
      <c r="M220" s="272">
        <f t="shared" si="38"/>
        <v>0.03355676025194705</v>
      </c>
      <c r="N220" s="267">
        <v>257.241</v>
      </c>
      <c r="O220" s="271">
        <f t="shared" si="39"/>
        <v>8.63217456397111</v>
      </c>
      <c r="P220" s="267">
        <f t="shared" si="40"/>
        <v>2013.405615116823</v>
      </c>
      <c r="Q220" s="273">
        <f t="shared" si="41"/>
        <v>517.9304738382666</v>
      </c>
      <c r="S220" s="80"/>
      <c r="T220" s="80"/>
    </row>
    <row r="221" spans="1:20" ht="12.75">
      <c r="A221" s="939"/>
      <c r="B221" s="219">
        <v>9</v>
      </c>
      <c r="C221" s="256" t="s">
        <v>287</v>
      </c>
      <c r="D221" s="219">
        <v>8</v>
      </c>
      <c r="E221" s="219">
        <v>1961</v>
      </c>
      <c r="F221" s="270">
        <v>14.706</v>
      </c>
      <c r="G221" s="270">
        <v>0.528</v>
      </c>
      <c r="H221" s="558">
        <v>1.28</v>
      </c>
      <c r="I221" s="270">
        <v>12.898</v>
      </c>
      <c r="J221" s="261">
        <v>361.4</v>
      </c>
      <c r="K221" s="272">
        <v>12.898</v>
      </c>
      <c r="L221" s="261">
        <v>361.4</v>
      </c>
      <c r="M221" s="272">
        <f t="shared" si="38"/>
        <v>0.03568898727172109</v>
      </c>
      <c r="N221" s="267">
        <v>257.241</v>
      </c>
      <c r="O221" s="271">
        <f t="shared" si="39"/>
        <v>9.180670774764804</v>
      </c>
      <c r="P221" s="267">
        <f t="shared" si="40"/>
        <v>2141.3392363032654</v>
      </c>
      <c r="Q221" s="273">
        <f t="shared" si="41"/>
        <v>550.8402464858883</v>
      </c>
      <c r="S221" s="80"/>
      <c r="T221" s="80"/>
    </row>
    <row r="222" spans="1:20" ht="13.5" thickBot="1">
      <c r="A222" s="941"/>
      <c r="B222" s="232">
        <v>10</v>
      </c>
      <c r="C222" s="258" t="s">
        <v>288</v>
      </c>
      <c r="D222" s="232">
        <v>12</v>
      </c>
      <c r="E222" s="232">
        <v>1964</v>
      </c>
      <c r="F222" s="274">
        <v>19.659</v>
      </c>
      <c r="G222" s="274"/>
      <c r="H222" s="274"/>
      <c r="I222" s="391">
        <v>19.659</v>
      </c>
      <c r="J222" s="424">
        <v>529.39</v>
      </c>
      <c r="K222" s="557">
        <v>19.659</v>
      </c>
      <c r="L222" s="424">
        <v>529.39</v>
      </c>
      <c r="M222" s="276">
        <f t="shared" si="38"/>
        <v>0.03713519333572602</v>
      </c>
      <c r="N222" s="275">
        <v>257.241</v>
      </c>
      <c r="O222" s="275">
        <f t="shared" si="39"/>
        <v>9.552694268875497</v>
      </c>
      <c r="P222" s="275">
        <f t="shared" si="40"/>
        <v>2228.111600143561</v>
      </c>
      <c r="Q222" s="277">
        <f t="shared" si="41"/>
        <v>573.1616561325299</v>
      </c>
      <c r="S222" s="80"/>
      <c r="T222" s="80"/>
    </row>
    <row r="223" spans="1:20" ht="12.75">
      <c r="A223" s="1042" t="s">
        <v>52</v>
      </c>
      <c r="B223" s="38">
        <v>1</v>
      </c>
      <c r="C223" s="45" t="s">
        <v>289</v>
      </c>
      <c r="D223" s="40">
        <v>79</v>
      </c>
      <c r="E223" s="40">
        <v>1960</v>
      </c>
      <c r="F223" s="172">
        <v>52.64</v>
      </c>
      <c r="G223" s="172"/>
      <c r="H223" s="172"/>
      <c r="I223" s="172">
        <f aca="true" t="shared" si="42" ref="I223:I230">F223-G223-H223</f>
        <v>52.64</v>
      </c>
      <c r="J223" s="297">
        <v>1307.92</v>
      </c>
      <c r="K223" s="214">
        <v>52.64</v>
      </c>
      <c r="L223" s="297">
        <v>1307.92</v>
      </c>
      <c r="M223" s="213">
        <f t="shared" si="38"/>
        <v>0.040247109914979505</v>
      </c>
      <c r="N223" s="164">
        <v>257.241</v>
      </c>
      <c r="O223" s="164">
        <f t="shared" si="39"/>
        <v>10.353206801639242</v>
      </c>
      <c r="P223" s="164">
        <f t="shared" si="40"/>
        <v>2414.8265948987705</v>
      </c>
      <c r="Q223" s="285">
        <f t="shared" si="41"/>
        <v>621.1924080983546</v>
      </c>
      <c r="S223" s="80"/>
      <c r="T223" s="80"/>
    </row>
    <row r="224" spans="1:20" ht="12.75">
      <c r="A224" s="902"/>
      <c r="B224" s="40">
        <v>2</v>
      </c>
      <c r="C224" s="693" t="s">
        <v>290</v>
      </c>
      <c r="D224" s="142">
        <v>5</v>
      </c>
      <c r="E224" s="142">
        <v>1957</v>
      </c>
      <c r="F224" s="292">
        <v>9.944</v>
      </c>
      <c r="G224" s="292">
        <v>0.225</v>
      </c>
      <c r="H224" s="292">
        <v>0.03</v>
      </c>
      <c r="I224" s="292">
        <f t="shared" si="42"/>
        <v>9.689000000000002</v>
      </c>
      <c r="J224" s="442">
        <v>341.11</v>
      </c>
      <c r="K224" s="811">
        <v>9.023</v>
      </c>
      <c r="L224" s="442">
        <v>223.82</v>
      </c>
      <c r="M224" s="214">
        <f t="shared" si="38"/>
        <v>0.040313644893217766</v>
      </c>
      <c r="N224" s="164">
        <v>257.241</v>
      </c>
      <c r="O224" s="290">
        <f t="shared" si="39"/>
        <v>10.37032232597623</v>
      </c>
      <c r="P224" s="164">
        <f t="shared" si="40"/>
        <v>2418.818693593066</v>
      </c>
      <c r="Q224" s="291">
        <f t="shared" si="41"/>
        <v>622.2193395585739</v>
      </c>
      <c r="S224" s="80"/>
      <c r="T224" s="80"/>
    </row>
    <row r="225" spans="1:20" ht="12.75">
      <c r="A225" s="902"/>
      <c r="B225" s="40">
        <v>3</v>
      </c>
      <c r="C225" s="45" t="s">
        <v>291</v>
      </c>
      <c r="D225" s="40">
        <v>20</v>
      </c>
      <c r="E225" s="40">
        <v>1957</v>
      </c>
      <c r="F225" s="172">
        <v>32.17</v>
      </c>
      <c r="G225" s="172">
        <v>1.705</v>
      </c>
      <c r="H225" s="172">
        <v>0.16</v>
      </c>
      <c r="I225" s="172">
        <f t="shared" si="42"/>
        <v>30.305000000000003</v>
      </c>
      <c r="J225" s="297">
        <v>748.5</v>
      </c>
      <c r="K225" s="214">
        <v>30.305</v>
      </c>
      <c r="L225" s="297">
        <v>748.5</v>
      </c>
      <c r="M225" s="214">
        <f t="shared" si="38"/>
        <v>0.0404876419505678</v>
      </c>
      <c r="N225" s="164">
        <v>257.241</v>
      </c>
      <c r="O225" s="290">
        <f t="shared" si="39"/>
        <v>10.41508150300601</v>
      </c>
      <c r="P225" s="164">
        <f t="shared" si="40"/>
        <v>2429.2585170340685</v>
      </c>
      <c r="Q225" s="291">
        <f t="shared" si="41"/>
        <v>624.9048901803608</v>
      </c>
      <c r="S225" s="80"/>
      <c r="T225" s="80"/>
    </row>
    <row r="226" spans="1:20" ht="12.75">
      <c r="A226" s="902"/>
      <c r="B226" s="40">
        <v>4</v>
      </c>
      <c r="C226" s="45" t="s">
        <v>292</v>
      </c>
      <c r="D226" s="40">
        <v>15</v>
      </c>
      <c r="E226" s="40">
        <v>1960</v>
      </c>
      <c r="F226" s="172">
        <v>39.104</v>
      </c>
      <c r="G226" s="172">
        <v>1.775</v>
      </c>
      <c r="H226" s="172">
        <v>1.92</v>
      </c>
      <c r="I226" s="172">
        <f t="shared" si="42"/>
        <v>35.409</v>
      </c>
      <c r="J226" s="297">
        <v>1006.94</v>
      </c>
      <c r="K226" s="214">
        <v>20.3009</v>
      </c>
      <c r="L226" s="297">
        <v>499.19</v>
      </c>
      <c r="M226" s="214">
        <f t="shared" si="38"/>
        <v>0.0406676816442637</v>
      </c>
      <c r="N226" s="164">
        <v>257.241</v>
      </c>
      <c r="O226" s="290">
        <f t="shared" si="39"/>
        <v>10.461395093852039</v>
      </c>
      <c r="P226" s="164">
        <f t="shared" si="40"/>
        <v>2440.0608986558223</v>
      </c>
      <c r="Q226" s="291">
        <f t="shared" si="41"/>
        <v>627.6837056311224</v>
      </c>
      <c r="S226" s="80"/>
      <c r="T226" s="80"/>
    </row>
    <row r="227" spans="1:20" ht="12.75">
      <c r="A227" s="902"/>
      <c r="B227" s="40">
        <v>5</v>
      </c>
      <c r="C227" s="559" t="s">
        <v>293</v>
      </c>
      <c r="D227" s="560">
        <v>7</v>
      </c>
      <c r="E227" s="560">
        <v>1925</v>
      </c>
      <c r="F227" s="423">
        <v>15.362</v>
      </c>
      <c r="G227" s="423">
        <v>0.252</v>
      </c>
      <c r="H227" s="423">
        <v>0.06</v>
      </c>
      <c r="I227" s="423">
        <f t="shared" si="42"/>
        <v>15.049999999999999</v>
      </c>
      <c r="J227" s="571">
        <v>368.39</v>
      </c>
      <c r="K227" s="592">
        <v>5.1098</v>
      </c>
      <c r="L227" s="571">
        <v>125.08</v>
      </c>
      <c r="M227" s="214">
        <f t="shared" si="38"/>
        <v>0.04085225455708347</v>
      </c>
      <c r="N227" s="164">
        <v>257.241</v>
      </c>
      <c r="O227" s="290">
        <f t="shared" si="39"/>
        <v>10.508874814518707</v>
      </c>
      <c r="P227" s="164">
        <f t="shared" si="40"/>
        <v>2451.1352734250077</v>
      </c>
      <c r="Q227" s="291">
        <f t="shared" si="41"/>
        <v>630.5324888711224</v>
      </c>
      <c r="S227" s="80"/>
      <c r="T227" s="80"/>
    </row>
    <row r="228" spans="1:20" ht="12.75">
      <c r="A228" s="902"/>
      <c r="B228" s="40">
        <v>6</v>
      </c>
      <c r="C228" s="45" t="s">
        <v>294</v>
      </c>
      <c r="D228" s="40">
        <v>11</v>
      </c>
      <c r="E228" s="40">
        <v>1920</v>
      </c>
      <c r="F228" s="172">
        <v>24.8</v>
      </c>
      <c r="G228" s="172">
        <v>0.646</v>
      </c>
      <c r="H228" s="172">
        <v>1.76</v>
      </c>
      <c r="I228" s="172">
        <f t="shared" si="42"/>
        <v>22.394</v>
      </c>
      <c r="J228" s="297">
        <v>541.36</v>
      </c>
      <c r="K228" s="214">
        <v>14.473</v>
      </c>
      <c r="L228" s="297">
        <v>349.88</v>
      </c>
      <c r="M228" s="214">
        <f t="shared" si="38"/>
        <v>0.041365611066651424</v>
      </c>
      <c r="N228" s="164">
        <v>257.241</v>
      </c>
      <c r="O228" s="290">
        <f t="shared" si="39"/>
        <v>10.640931156396478</v>
      </c>
      <c r="P228" s="164">
        <f t="shared" si="40"/>
        <v>2481.936663999086</v>
      </c>
      <c r="Q228" s="291">
        <f t="shared" si="41"/>
        <v>638.4558693837888</v>
      </c>
      <c r="S228" s="80"/>
      <c r="T228" s="80"/>
    </row>
    <row r="229" spans="1:20" ht="12.75">
      <c r="A229" s="902"/>
      <c r="B229" s="40">
        <v>7</v>
      </c>
      <c r="C229" s="45" t="s">
        <v>295</v>
      </c>
      <c r="D229" s="40">
        <v>6</v>
      </c>
      <c r="E229" s="40">
        <v>1959</v>
      </c>
      <c r="F229" s="172">
        <v>9.06</v>
      </c>
      <c r="G229" s="172">
        <v>0.393</v>
      </c>
      <c r="H229" s="172">
        <v>0.06</v>
      </c>
      <c r="I229" s="172">
        <f t="shared" si="42"/>
        <v>8.607</v>
      </c>
      <c r="J229" s="297">
        <v>225.86</v>
      </c>
      <c r="K229" s="214">
        <v>6.642</v>
      </c>
      <c r="L229" s="297">
        <v>149.18</v>
      </c>
      <c r="M229" s="214">
        <f t="shared" si="38"/>
        <v>0.044523394556911115</v>
      </c>
      <c r="N229" s="164">
        <v>257.241</v>
      </c>
      <c r="O229" s="290">
        <f t="shared" si="39"/>
        <v>11.453242539214372</v>
      </c>
      <c r="P229" s="164">
        <f t="shared" si="40"/>
        <v>2671.403673414667</v>
      </c>
      <c r="Q229" s="291">
        <f t="shared" si="41"/>
        <v>687.1945523528623</v>
      </c>
      <c r="S229" s="80"/>
      <c r="T229" s="80"/>
    </row>
    <row r="230" spans="1:20" ht="12.75">
      <c r="A230" s="902"/>
      <c r="B230" s="39">
        <v>8</v>
      </c>
      <c r="C230" s="45" t="s">
        <v>296</v>
      </c>
      <c r="D230" s="40">
        <v>6</v>
      </c>
      <c r="E230" s="40">
        <v>1955</v>
      </c>
      <c r="F230" s="172">
        <v>12.305</v>
      </c>
      <c r="G230" s="172">
        <v>0.337</v>
      </c>
      <c r="H230" s="172">
        <v>0.06</v>
      </c>
      <c r="I230" s="172">
        <f t="shared" si="42"/>
        <v>11.908</v>
      </c>
      <c r="J230" s="297">
        <v>249.66</v>
      </c>
      <c r="K230" s="214">
        <v>9.84836</v>
      </c>
      <c r="L230" s="297">
        <v>206.48</v>
      </c>
      <c r="M230" s="214">
        <f t="shared" si="38"/>
        <v>0.047696435490120107</v>
      </c>
      <c r="N230" s="164">
        <v>257.241</v>
      </c>
      <c r="O230" s="290">
        <f t="shared" si="39"/>
        <v>12.269478761913986</v>
      </c>
      <c r="P230" s="164">
        <f t="shared" si="40"/>
        <v>2861.7861294072063</v>
      </c>
      <c r="Q230" s="291">
        <f t="shared" si="41"/>
        <v>736.1687257148391</v>
      </c>
      <c r="S230" s="80"/>
      <c r="T230" s="80"/>
    </row>
    <row r="231" spans="1:20" ht="12.75">
      <c r="A231" s="902"/>
      <c r="B231" s="40">
        <v>9</v>
      </c>
      <c r="C231" s="45" t="s">
        <v>297</v>
      </c>
      <c r="D231" s="40">
        <v>23</v>
      </c>
      <c r="E231" s="40">
        <v>1963</v>
      </c>
      <c r="F231" s="172">
        <v>25.228</v>
      </c>
      <c r="G231" s="172"/>
      <c r="H231" s="172"/>
      <c r="I231" s="172">
        <v>25.228</v>
      </c>
      <c r="J231" s="297">
        <v>502.6</v>
      </c>
      <c r="K231" s="214">
        <v>25.228</v>
      </c>
      <c r="L231" s="297">
        <v>502.6</v>
      </c>
      <c r="M231" s="214">
        <f t="shared" si="38"/>
        <v>0.0501949860724234</v>
      </c>
      <c r="N231" s="164">
        <v>257.241</v>
      </c>
      <c r="O231" s="290">
        <f t="shared" si="39"/>
        <v>12.912208412256266</v>
      </c>
      <c r="P231" s="164">
        <f t="shared" si="40"/>
        <v>3011.699164345404</v>
      </c>
      <c r="Q231" s="291">
        <f t="shared" si="41"/>
        <v>774.732504735376</v>
      </c>
      <c r="S231" s="80"/>
      <c r="T231" s="80"/>
    </row>
    <row r="232" spans="1:20" ht="13.5" thickBot="1">
      <c r="A232" s="903"/>
      <c r="B232" s="42">
        <v>10</v>
      </c>
      <c r="C232" s="46" t="s">
        <v>298</v>
      </c>
      <c r="D232" s="42">
        <v>8</v>
      </c>
      <c r="E232" s="42">
        <v>1926</v>
      </c>
      <c r="F232" s="215">
        <v>13.822</v>
      </c>
      <c r="G232" s="215">
        <v>0.05</v>
      </c>
      <c r="H232" s="215">
        <v>0.8</v>
      </c>
      <c r="I232" s="215">
        <f>F232-G232-H232</f>
        <v>12.971999999999998</v>
      </c>
      <c r="J232" s="333">
        <v>254.15</v>
      </c>
      <c r="K232" s="217">
        <v>9.9158</v>
      </c>
      <c r="L232" s="333">
        <v>194.28</v>
      </c>
      <c r="M232" s="217">
        <f t="shared" si="38"/>
        <v>0.05103870702079474</v>
      </c>
      <c r="N232" s="216">
        <v>257.241</v>
      </c>
      <c r="O232" s="216">
        <f t="shared" si="39"/>
        <v>13.129248032736259</v>
      </c>
      <c r="P232" s="216">
        <f t="shared" si="40"/>
        <v>3062.3224212476844</v>
      </c>
      <c r="Q232" s="288">
        <f t="shared" si="41"/>
        <v>787.7548819641755</v>
      </c>
      <c r="S232" s="80"/>
      <c r="T232" s="80"/>
    </row>
    <row r="233" spans="19:20" ht="12.75">
      <c r="S233" s="80"/>
      <c r="T233" s="80"/>
    </row>
    <row r="234" spans="19:20" ht="12.75">
      <c r="S234" s="80"/>
      <c r="T234" s="80"/>
    </row>
    <row r="235" spans="1:20" ht="15">
      <c r="A235" s="907" t="s">
        <v>59</v>
      </c>
      <c r="B235" s="907"/>
      <c r="C235" s="907"/>
      <c r="D235" s="907"/>
      <c r="E235" s="907"/>
      <c r="F235" s="907"/>
      <c r="G235" s="907"/>
      <c r="H235" s="907"/>
      <c r="I235" s="907"/>
      <c r="J235" s="907"/>
      <c r="K235" s="907"/>
      <c r="L235" s="907"/>
      <c r="M235" s="907"/>
      <c r="N235" s="907"/>
      <c r="O235" s="907"/>
      <c r="P235" s="907"/>
      <c r="Q235" s="907"/>
      <c r="S235" s="80"/>
      <c r="T235" s="80"/>
    </row>
    <row r="236" spans="1:20" ht="13.5" thickBot="1">
      <c r="A236" s="894" t="s">
        <v>299</v>
      </c>
      <c r="B236" s="894"/>
      <c r="C236" s="894"/>
      <c r="D236" s="894"/>
      <c r="E236" s="894"/>
      <c r="F236" s="894"/>
      <c r="G236" s="894"/>
      <c r="H236" s="894"/>
      <c r="I236" s="894"/>
      <c r="J236" s="894"/>
      <c r="K236" s="894"/>
      <c r="L236" s="894"/>
      <c r="M236" s="894"/>
      <c r="N236" s="894"/>
      <c r="O236" s="894"/>
      <c r="P236" s="894"/>
      <c r="Q236" s="894"/>
      <c r="S236" s="80"/>
      <c r="T236" s="80"/>
    </row>
    <row r="237" spans="1:20" ht="12.75" customHeight="1">
      <c r="A237" s="885" t="s">
        <v>1</v>
      </c>
      <c r="B237" s="908" t="s">
        <v>0</v>
      </c>
      <c r="C237" s="880" t="s">
        <v>2</v>
      </c>
      <c r="D237" s="880" t="s">
        <v>3</v>
      </c>
      <c r="E237" s="880" t="s">
        <v>13</v>
      </c>
      <c r="F237" s="911" t="s">
        <v>14</v>
      </c>
      <c r="G237" s="912"/>
      <c r="H237" s="912"/>
      <c r="I237" s="913"/>
      <c r="J237" s="880" t="s">
        <v>4</v>
      </c>
      <c r="K237" s="880" t="s">
        <v>15</v>
      </c>
      <c r="L237" s="880" t="s">
        <v>5</v>
      </c>
      <c r="M237" s="880" t="s">
        <v>6</v>
      </c>
      <c r="N237" s="880" t="s">
        <v>16</v>
      </c>
      <c r="O237" s="892" t="s">
        <v>17</v>
      </c>
      <c r="P237" s="880" t="s">
        <v>25</v>
      </c>
      <c r="Q237" s="890" t="s">
        <v>26</v>
      </c>
      <c r="S237" s="80"/>
      <c r="T237" s="80"/>
    </row>
    <row r="238" spans="1:20" s="2" customFormat="1" ht="33.75">
      <c r="A238" s="886"/>
      <c r="B238" s="909"/>
      <c r="C238" s="888"/>
      <c r="D238" s="881"/>
      <c r="E238" s="881"/>
      <c r="F238" s="36" t="s">
        <v>18</v>
      </c>
      <c r="G238" s="36" t="s">
        <v>19</v>
      </c>
      <c r="H238" s="36" t="s">
        <v>20</v>
      </c>
      <c r="I238" s="36" t="s">
        <v>21</v>
      </c>
      <c r="J238" s="881"/>
      <c r="K238" s="881"/>
      <c r="L238" s="881"/>
      <c r="M238" s="881"/>
      <c r="N238" s="881"/>
      <c r="O238" s="893"/>
      <c r="P238" s="881"/>
      <c r="Q238" s="891"/>
      <c r="S238" s="80"/>
      <c r="T238" s="80"/>
    </row>
    <row r="239" spans="1:20" s="3" customFormat="1" ht="13.5" customHeight="1" thickBot="1">
      <c r="A239" s="887"/>
      <c r="B239" s="910"/>
      <c r="C239" s="889"/>
      <c r="D239" s="52" t="s">
        <v>7</v>
      </c>
      <c r="E239" s="52" t="s">
        <v>8</v>
      </c>
      <c r="F239" s="52" t="s">
        <v>9</v>
      </c>
      <c r="G239" s="52" t="s">
        <v>9</v>
      </c>
      <c r="H239" s="52" t="s">
        <v>9</v>
      </c>
      <c r="I239" s="52" t="s">
        <v>9</v>
      </c>
      <c r="J239" s="52" t="s">
        <v>22</v>
      </c>
      <c r="K239" s="52" t="s">
        <v>9</v>
      </c>
      <c r="L239" s="52" t="s">
        <v>22</v>
      </c>
      <c r="M239" s="52" t="s">
        <v>71</v>
      </c>
      <c r="N239" s="52" t="s">
        <v>10</v>
      </c>
      <c r="O239" s="52" t="s">
        <v>72</v>
      </c>
      <c r="P239" s="53" t="s">
        <v>27</v>
      </c>
      <c r="Q239" s="54" t="s">
        <v>28</v>
      </c>
      <c r="S239" s="80"/>
      <c r="T239" s="80"/>
    </row>
    <row r="240" spans="1:20" ht="12.75" customHeight="1">
      <c r="A240" s="876" t="s">
        <v>11</v>
      </c>
      <c r="B240" s="30">
        <v>1</v>
      </c>
      <c r="C240" s="335" t="s">
        <v>300</v>
      </c>
      <c r="D240" s="370">
        <v>17</v>
      </c>
      <c r="E240" s="55">
        <v>1974</v>
      </c>
      <c r="F240" s="235">
        <f aca="true" t="shared" si="43" ref="F240:F248">+G240+H240+I240</f>
        <v>50.037987</v>
      </c>
      <c r="G240" s="426">
        <v>7.148585000000001</v>
      </c>
      <c r="H240" s="426">
        <v>11.200000000000001</v>
      </c>
      <c r="I240" s="426">
        <v>31.689402</v>
      </c>
      <c r="J240" s="431">
        <v>3773.31</v>
      </c>
      <c r="K240" s="799">
        <v>31.689402</v>
      </c>
      <c r="L240" s="431">
        <v>3648.6800000000003</v>
      </c>
      <c r="M240" s="237">
        <f aca="true" t="shared" si="44" ref="M240:M248">+K240/L240</f>
        <v>0.008685168882993302</v>
      </c>
      <c r="N240" s="236">
        <v>306.508</v>
      </c>
      <c r="O240" s="238">
        <f aca="true" t="shared" si="45" ref="O240:O248">+M240*N240</f>
        <v>2.6620737439885107</v>
      </c>
      <c r="P240" s="238">
        <f aca="true" t="shared" si="46" ref="P240:P248">+M240*60*1000</f>
        <v>521.1101329795981</v>
      </c>
      <c r="Q240" s="239">
        <f aca="true" t="shared" si="47" ref="Q240:Q248">+O240*60</f>
        <v>159.72442463931066</v>
      </c>
      <c r="R240" s="6"/>
      <c r="S240" s="80"/>
      <c r="T240" s="80"/>
    </row>
    <row r="241" spans="1:20" ht="12.75">
      <c r="A241" s="877"/>
      <c r="B241" s="31">
        <v>2</v>
      </c>
      <c r="C241" s="335" t="s">
        <v>301</v>
      </c>
      <c r="D241" s="370">
        <v>71</v>
      </c>
      <c r="E241" s="31">
        <v>1984</v>
      </c>
      <c r="F241" s="235">
        <f t="shared" si="43"/>
        <v>34.421797</v>
      </c>
      <c r="G241" s="426">
        <v>3.92394</v>
      </c>
      <c r="H241" s="426">
        <v>8.64</v>
      </c>
      <c r="I241" s="426">
        <v>21.857857</v>
      </c>
      <c r="J241" s="431">
        <v>2249.59</v>
      </c>
      <c r="K241" s="799">
        <v>21.857857</v>
      </c>
      <c r="L241" s="431">
        <v>2249.59</v>
      </c>
      <c r="M241" s="237">
        <f t="shared" si="44"/>
        <v>0.00971637365030961</v>
      </c>
      <c r="N241" s="236">
        <v>306.508</v>
      </c>
      <c r="O241" s="238">
        <f t="shared" si="45"/>
        <v>2.978146254809098</v>
      </c>
      <c r="P241" s="238">
        <f t="shared" si="46"/>
        <v>582.9824190185766</v>
      </c>
      <c r="Q241" s="865">
        <f t="shared" si="47"/>
        <v>178.68877528854588</v>
      </c>
      <c r="S241" s="80"/>
      <c r="T241" s="80"/>
    </row>
    <row r="242" spans="1:20" ht="12.75">
      <c r="A242" s="877"/>
      <c r="B242" s="31">
        <v>3</v>
      </c>
      <c r="C242" s="335" t="s">
        <v>302</v>
      </c>
      <c r="D242" s="370">
        <v>36</v>
      </c>
      <c r="E242" s="31">
        <v>2008</v>
      </c>
      <c r="F242" s="235">
        <f t="shared" si="43"/>
        <v>8.447125</v>
      </c>
      <c r="G242" s="426">
        <v>1.632</v>
      </c>
      <c r="H242" s="426">
        <v>0.6751250000000001</v>
      </c>
      <c r="I242" s="426">
        <v>6.140000000000001</v>
      </c>
      <c r="J242" s="431">
        <v>1123.59</v>
      </c>
      <c r="K242" s="799">
        <v>6.140000000000001</v>
      </c>
      <c r="L242" s="431">
        <v>613.96</v>
      </c>
      <c r="M242" s="237">
        <f t="shared" si="44"/>
        <v>0.01000065150824158</v>
      </c>
      <c r="N242" s="236">
        <v>306.508</v>
      </c>
      <c r="O242" s="238">
        <f t="shared" si="45"/>
        <v>3.06527969248811</v>
      </c>
      <c r="P242" s="238">
        <f t="shared" si="46"/>
        <v>600.0390904944948</v>
      </c>
      <c r="Q242" s="865">
        <f t="shared" si="47"/>
        <v>183.91678154928658</v>
      </c>
      <c r="S242" s="80"/>
      <c r="T242" s="80"/>
    </row>
    <row r="243" spans="1:20" ht="12.75">
      <c r="A243" s="877"/>
      <c r="B243" s="31">
        <v>4</v>
      </c>
      <c r="C243" s="335" t="s">
        <v>303</v>
      </c>
      <c r="D243" s="370">
        <v>11</v>
      </c>
      <c r="E243" s="31">
        <v>1967</v>
      </c>
      <c r="F243" s="235">
        <f t="shared" si="43"/>
        <v>41.891001</v>
      </c>
      <c r="G243" s="426">
        <v>6.82405</v>
      </c>
      <c r="H243" s="426">
        <v>8.8</v>
      </c>
      <c r="I243" s="426">
        <v>26.266951</v>
      </c>
      <c r="J243" s="431">
        <v>2582.18</v>
      </c>
      <c r="K243" s="799">
        <v>26.266951</v>
      </c>
      <c r="L243" s="431">
        <v>2582.18</v>
      </c>
      <c r="M243" s="237">
        <f t="shared" si="44"/>
        <v>0.010172393481476891</v>
      </c>
      <c r="N243" s="236">
        <v>306.508</v>
      </c>
      <c r="O243" s="238">
        <f t="shared" si="45"/>
        <v>3.1179199812205187</v>
      </c>
      <c r="P243" s="238">
        <f t="shared" si="46"/>
        <v>610.3436088886135</v>
      </c>
      <c r="Q243" s="865">
        <f t="shared" si="47"/>
        <v>187.07519887323113</v>
      </c>
      <c r="S243" s="80"/>
      <c r="T243" s="80"/>
    </row>
    <row r="244" spans="1:20" ht="12.75">
      <c r="A244" s="877"/>
      <c r="B244" s="31">
        <v>5</v>
      </c>
      <c r="C244" s="335" t="s">
        <v>304</v>
      </c>
      <c r="D244" s="370">
        <v>55</v>
      </c>
      <c r="E244" s="31">
        <v>1973</v>
      </c>
      <c r="F244" s="235">
        <f t="shared" si="43"/>
        <v>23.696996999999996</v>
      </c>
      <c r="G244" s="426">
        <v>2.657097</v>
      </c>
      <c r="H244" s="426">
        <v>4.8</v>
      </c>
      <c r="I244" s="426">
        <v>16.2399</v>
      </c>
      <c r="J244" s="431">
        <v>1569.45</v>
      </c>
      <c r="K244" s="799">
        <v>16.2399</v>
      </c>
      <c r="L244" s="431">
        <v>1569.45</v>
      </c>
      <c r="M244" s="237">
        <f t="shared" si="44"/>
        <v>0.010347510274299913</v>
      </c>
      <c r="N244" s="236">
        <v>306.508</v>
      </c>
      <c r="O244" s="238">
        <f t="shared" si="45"/>
        <v>3.1715946791551177</v>
      </c>
      <c r="P244" s="238">
        <f t="shared" si="46"/>
        <v>620.8506164579948</v>
      </c>
      <c r="Q244" s="865">
        <f t="shared" si="47"/>
        <v>190.29568074930705</v>
      </c>
      <c r="S244" s="80"/>
      <c r="T244" s="80"/>
    </row>
    <row r="245" spans="1:20" ht="12.75">
      <c r="A245" s="877"/>
      <c r="B245" s="31">
        <v>6</v>
      </c>
      <c r="C245" s="335" t="s">
        <v>305</v>
      </c>
      <c r="D245" s="370">
        <v>30</v>
      </c>
      <c r="E245" s="31">
        <v>1999</v>
      </c>
      <c r="F245" s="235">
        <f t="shared" si="43"/>
        <v>14.757200000000001</v>
      </c>
      <c r="G245" s="426">
        <v>0</v>
      </c>
      <c r="H245" s="426">
        <v>0</v>
      </c>
      <c r="I245" s="426">
        <v>14.757200000000001</v>
      </c>
      <c r="J245" s="431">
        <v>1261.9</v>
      </c>
      <c r="K245" s="799">
        <v>14.757200000000001</v>
      </c>
      <c r="L245" s="431">
        <v>1261.9</v>
      </c>
      <c r="M245" s="237">
        <f t="shared" si="44"/>
        <v>0.011694429035581266</v>
      </c>
      <c r="N245" s="236">
        <v>306.508</v>
      </c>
      <c r="O245" s="238">
        <f t="shared" si="45"/>
        <v>3.5844360548379424</v>
      </c>
      <c r="P245" s="238">
        <f t="shared" si="46"/>
        <v>701.6657421348759</v>
      </c>
      <c r="Q245" s="865">
        <f t="shared" si="47"/>
        <v>215.06616329027653</v>
      </c>
      <c r="S245" s="80"/>
      <c r="T245" s="80"/>
    </row>
    <row r="246" spans="1:20" ht="12.75">
      <c r="A246" s="877"/>
      <c r="B246" s="31">
        <v>7</v>
      </c>
      <c r="C246" s="335" t="s">
        <v>306</v>
      </c>
      <c r="D246" s="370">
        <v>10</v>
      </c>
      <c r="E246" s="31">
        <v>1994</v>
      </c>
      <c r="F246" s="235">
        <f t="shared" si="43"/>
        <v>14.597000999999999</v>
      </c>
      <c r="G246" s="426">
        <v>1.2878399999999999</v>
      </c>
      <c r="H246" s="426">
        <v>1.6</v>
      </c>
      <c r="I246" s="426">
        <v>11.709161</v>
      </c>
      <c r="J246" s="431">
        <v>1100.65</v>
      </c>
      <c r="K246" s="799">
        <v>11.709161</v>
      </c>
      <c r="L246" s="431">
        <v>982.46</v>
      </c>
      <c r="M246" s="237">
        <f t="shared" si="44"/>
        <v>0.011918206339189382</v>
      </c>
      <c r="N246" s="236">
        <v>306.508</v>
      </c>
      <c r="O246" s="238">
        <f t="shared" si="45"/>
        <v>3.653025588612259</v>
      </c>
      <c r="P246" s="238">
        <f t="shared" si="46"/>
        <v>715.0923803513629</v>
      </c>
      <c r="Q246" s="865">
        <f t="shared" si="47"/>
        <v>219.18153531673553</v>
      </c>
      <c r="S246" s="80"/>
      <c r="T246" s="80"/>
    </row>
    <row r="247" spans="1:20" ht="12.75">
      <c r="A247" s="877"/>
      <c r="B247" s="31">
        <v>8</v>
      </c>
      <c r="C247" s="335" t="s">
        <v>307</v>
      </c>
      <c r="D247" s="370">
        <v>10</v>
      </c>
      <c r="E247" s="31">
        <v>1971</v>
      </c>
      <c r="F247" s="235">
        <f t="shared" si="43"/>
        <v>26.662995</v>
      </c>
      <c r="G247" s="426">
        <v>3.11228</v>
      </c>
      <c r="H247" s="426">
        <v>4.8</v>
      </c>
      <c r="I247" s="426">
        <v>18.750715</v>
      </c>
      <c r="J247" s="431">
        <v>1569.65</v>
      </c>
      <c r="K247" s="799">
        <v>18.750715</v>
      </c>
      <c r="L247" s="431">
        <v>1569.65</v>
      </c>
      <c r="M247" s="237">
        <f t="shared" si="44"/>
        <v>0.011945793648265536</v>
      </c>
      <c r="N247" s="236">
        <v>306.508</v>
      </c>
      <c r="O247" s="238">
        <f t="shared" si="45"/>
        <v>3.6614813195425726</v>
      </c>
      <c r="P247" s="238">
        <f t="shared" si="46"/>
        <v>716.7476188959322</v>
      </c>
      <c r="Q247" s="865">
        <f t="shared" si="47"/>
        <v>219.68887917255435</v>
      </c>
      <c r="S247" s="80"/>
      <c r="T247" s="80"/>
    </row>
    <row r="248" spans="1:20" ht="12.75">
      <c r="A248" s="877"/>
      <c r="B248" s="31">
        <v>9</v>
      </c>
      <c r="C248" s="335" t="s">
        <v>308</v>
      </c>
      <c r="D248" s="370">
        <v>30</v>
      </c>
      <c r="E248" s="31">
        <v>1976</v>
      </c>
      <c r="F248" s="778">
        <f t="shared" si="43"/>
        <v>27.162</v>
      </c>
      <c r="G248" s="426">
        <v>3.5700000000000003</v>
      </c>
      <c r="H248" s="426">
        <v>3.04</v>
      </c>
      <c r="I248" s="426">
        <v>20.552</v>
      </c>
      <c r="J248" s="431">
        <v>1720.29</v>
      </c>
      <c r="K248" s="799">
        <v>20.552</v>
      </c>
      <c r="L248" s="431">
        <v>1720.29</v>
      </c>
      <c r="M248" s="237">
        <f t="shared" si="44"/>
        <v>0.011946822919391498</v>
      </c>
      <c r="N248" s="236">
        <v>306.508</v>
      </c>
      <c r="O248" s="238">
        <f t="shared" si="45"/>
        <v>3.661796799376849</v>
      </c>
      <c r="P248" s="238">
        <f t="shared" si="46"/>
        <v>716.8093751634899</v>
      </c>
      <c r="Q248" s="865">
        <f t="shared" si="47"/>
        <v>219.70780796261093</v>
      </c>
      <c r="S248" s="80"/>
      <c r="T248" s="80"/>
    </row>
    <row r="249" spans="1:20" ht="13.5" thickBot="1">
      <c r="A249" s="1016"/>
      <c r="B249" s="55">
        <v>10</v>
      </c>
      <c r="C249" s="58"/>
      <c r="D249" s="57"/>
      <c r="E249" s="57"/>
      <c r="F249" s="203"/>
      <c r="G249" s="203"/>
      <c r="H249" s="203"/>
      <c r="I249" s="203"/>
      <c r="J249" s="311"/>
      <c r="K249" s="125"/>
      <c r="L249" s="311"/>
      <c r="M249" s="125"/>
      <c r="N249" s="124"/>
      <c r="O249" s="124"/>
      <c r="P249" s="124"/>
      <c r="Q249" s="126"/>
      <c r="S249" s="80"/>
      <c r="T249" s="80"/>
    </row>
    <row r="250" spans="1:20" ht="11.25" customHeight="1">
      <c r="A250" s="882" t="s">
        <v>29</v>
      </c>
      <c r="B250" s="33">
        <v>1</v>
      </c>
      <c r="C250" s="336" t="s">
        <v>309</v>
      </c>
      <c r="D250" s="382">
        <v>93</v>
      </c>
      <c r="E250" s="33">
        <v>1973</v>
      </c>
      <c r="F250" s="252">
        <f>+G250+H250+I250</f>
        <v>79.553</v>
      </c>
      <c r="G250" s="531">
        <v>9.816133</v>
      </c>
      <c r="H250" s="531">
        <v>14.4</v>
      </c>
      <c r="I250" s="531">
        <v>55.336867000000005</v>
      </c>
      <c r="J250" s="532">
        <v>4520.3</v>
      </c>
      <c r="K250" s="864">
        <v>55.336867000000005</v>
      </c>
      <c r="L250" s="532">
        <v>4520.3</v>
      </c>
      <c r="M250" s="136">
        <f>+K250/L250</f>
        <v>0.012241857177620954</v>
      </c>
      <c r="N250" s="137">
        <v>306.508</v>
      </c>
      <c r="O250" s="137">
        <f>+M250*N250</f>
        <v>3.7522271597982435</v>
      </c>
      <c r="P250" s="417">
        <f>+M250*60*1000</f>
        <v>734.5114306572573</v>
      </c>
      <c r="Q250" s="157">
        <f>+O250*60</f>
        <v>225.1336295878946</v>
      </c>
      <c r="S250" s="80"/>
      <c r="T250" s="80"/>
    </row>
    <row r="251" spans="1:20" ht="12.75" customHeight="1">
      <c r="A251" s="883"/>
      <c r="B251" s="35">
        <v>2</v>
      </c>
      <c r="C251" s="336" t="s">
        <v>310</v>
      </c>
      <c r="D251" s="382">
        <v>40</v>
      </c>
      <c r="E251" s="35">
        <v>2009</v>
      </c>
      <c r="F251" s="248">
        <f aca="true" t="shared" si="48" ref="F251:F257">+G251+H251+I251</f>
        <v>36.935002000000004</v>
      </c>
      <c r="G251" s="427">
        <v>6.299684</v>
      </c>
      <c r="H251" s="427">
        <v>3.2</v>
      </c>
      <c r="I251" s="427">
        <v>27.435318000000002</v>
      </c>
      <c r="J251" s="432">
        <v>2225.68</v>
      </c>
      <c r="K251" s="800">
        <v>27.435318000000002</v>
      </c>
      <c r="L251" s="432">
        <v>2225.68</v>
      </c>
      <c r="M251" s="128">
        <f aca="true" t="shared" si="49" ref="M251:M258">+K251/L251</f>
        <v>0.012326712734984367</v>
      </c>
      <c r="N251" s="127">
        <v>306.508</v>
      </c>
      <c r="O251" s="127">
        <f aca="true" t="shared" si="50" ref="O251:O258">+M251*N251</f>
        <v>3.7782360669745882</v>
      </c>
      <c r="P251" s="417">
        <f aca="true" t="shared" si="51" ref="P251:P258">+M251*60*1000</f>
        <v>739.602764099062</v>
      </c>
      <c r="Q251" s="157">
        <f aca="true" t="shared" si="52" ref="Q251:Q258">+O251*60</f>
        <v>226.6941640184753</v>
      </c>
      <c r="S251" s="80"/>
      <c r="T251" s="80"/>
    </row>
    <row r="252" spans="1:20" ht="12.75" customHeight="1">
      <c r="A252" s="883"/>
      <c r="B252" s="35">
        <v>3</v>
      </c>
      <c r="C252" s="336" t="s">
        <v>311</v>
      </c>
      <c r="D252" s="382">
        <v>34</v>
      </c>
      <c r="E252" s="35">
        <v>2001</v>
      </c>
      <c r="F252" s="248">
        <f t="shared" si="48"/>
        <v>31.921000999999997</v>
      </c>
      <c r="G252" s="427">
        <v>3.89035</v>
      </c>
      <c r="H252" s="427">
        <v>5.44</v>
      </c>
      <c r="I252" s="427">
        <v>22.590650999999998</v>
      </c>
      <c r="J252" s="432">
        <v>1747.92</v>
      </c>
      <c r="K252" s="800">
        <v>22.590650999999998</v>
      </c>
      <c r="L252" s="432">
        <v>1747.92</v>
      </c>
      <c r="M252" s="128">
        <f t="shared" si="49"/>
        <v>0.012924304888095563</v>
      </c>
      <c r="N252" s="127">
        <v>306.508</v>
      </c>
      <c r="O252" s="127">
        <f t="shared" si="50"/>
        <v>3.961402842640395</v>
      </c>
      <c r="P252" s="417">
        <f t="shared" si="51"/>
        <v>775.4582932857338</v>
      </c>
      <c r="Q252" s="157">
        <f t="shared" si="52"/>
        <v>237.6841705584237</v>
      </c>
      <c r="S252" s="80"/>
      <c r="T252" s="80"/>
    </row>
    <row r="253" spans="1:20" s="88" customFormat="1" ht="12.75" customHeight="1">
      <c r="A253" s="883"/>
      <c r="B253" s="95">
        <v>4</v>
      </c>
      <c r="C253" s="336" t="s">
        <v>312</v>
      </c>
      <c r="D253" s="382">
        <v>29</v>
      </c>
      <c r="E253" s="35">
        <v>2007</v>
      </c>
      <c r="F253" s="248">
        <f t="shared" si="48"/>
        <v>29.500500000000002</v>
      </c>
      <c r="G253" s="427">
        <v>3.9525</v>
      </c>
      <c r="H253" s="427">
        <v>2.32</v>
      </c>
      <c r="I253" s="427">
        <v>23.228</v>
      </c>
      <c r="J253" s="432">
        <v>3447.1</v>
      </c>
      <c r="K253" s="800">
        <v>23.228</v>
      </c>
      <c r="L253" s="432">
        <v>1796.56</v>
      </c>
      <c r="M253" s="128">
        <f t="shared" si="49"/>
        <v>0.012929153493342834</v>
      </c>
      <c r="N253" s="127">
        <v>306.508</v>
      </c>
      <c r="O253" s="127">
        <f t="shared" si="50"/>
        <v>3.9628889789375252</v>
      </c>
      <c r="P253" s="417">
        <f t="shared" si="51"/>
        <v>775.74920960057</v>
      </c>
      <c r="Q253" s="157">
        <f t="shared" si="52"/>
        <v>237.7733387362515</v>
      </c>
      <c r="S253" s="80"/>
      <c r="T253" s="80"/>
    </row>
    <row r="254" spans="1:20" s="88" customFormat="1" ht="12.75" customHeight="1">
      <c r="A254" s="883"/>
      <c r="B254" s="95">
        <v>5</v>
      </c>
      <c r="C254" s="336" t="s">
        <v>313</v>
      </c>
      <c r="D254" s="382">
        <v>55</v>
      </c>
      <c r="E254" s="35">
        <v>1995</v>
      </c>
      <c r="F254" s="248">
        <f t="shared" si="48"/>
        <v>66.33000000000001</v>
      </c>
      <c r="G254" s="427">
        <v>8.16</v>
      </c>
      <c r="H254" s="427">
        <v>8.8</v>
      </c>
      <c r="I254" s="427">
        <v>49.370000000000005</v>
      </c>
      <c r="J254" s="432">
        <v>3364.89</v>
      </c>
      <c r="K254" s="800">
        <v>49.370000000000005</v>
      </c>
      <c r="L254" s="432">
        <v>3364.89</v>
      </c>
      <c r="M254" s="128">
        <f t="shared" si="49"/>
        <v>0.014672099236527793</v>
      </c>
      <c r="N254" s="127">
        <v>306.508</v>
      </c>
      <c r="O254" s="127">
        <f t="shared" si="50"/>
        <v>4.497115792789661</v>
      </c>
      <c r="P254" s="417">
        <f t="shared" si="51"/>
        <v>880.3259541916676</v>
      </c>
      <c r="Q254" s="157">
        <f t="shared" si="52"/>
        <v>269.82694756737965</v>
      </c>
      <c r="S254" s="80"/>
      <c r="T254" s="80"/>
    </row>
    <row r="255" spans="1:20" s="88" customFormat="1" ht="12.75" customHeight="1">
      <c r="A255" s="883"/>
      <c r="B255" s="95">
        <v>6</v>
      </c>
      <c r="C255" s="336" t="s">
        <v>314</v>
      </c>
      <c r="D255" s="382">
        <v>111</v>
      </c>
      <c r="E255" s="35">
        <v>1972</v>
      </c>
      <c r="F255" s="248">
        <f t="shared" si="48"/>
        <v>115.996362</v>
      </c>
      <c r="G255" s="427">
        <v>12.801</v>
      </c>
      <c r="H255" s="427">
        <v>17.76</v>
      </c>
      <c r="I255" s="427">
        <v>85.43536200000001</v>
      </c>
      <c r="J255" s="432">
        <v>5858.8</v>
      </c>
      <c r="K255" s="800">
        <v>85.43536200000001</v>
      </c>
      <c r="L255" s="432">
        <v>5795.400000000001</v>
      </c>
      <c r="M255" s="128">
        <f t="shared" si="49"/>
        <v>0.014741926700486593</v>
      </c>
      <c r="N255" s="127">
        <v>306.508</v>
      </c>
      <c r="O255" s="127">
        <f t="shared" si="50"/>
        <v>4.5185184691127445</v>
      </c>
      <c r="P255" s="417">
        <f t="shared" si="51"/>
        <v>884.5156020291955</v>
      </c>
      <c r="Q255" s="157">
        <f t="shared" si="52"/>
        <v>271.11110814676465</v>
      </c>
      <c r="S255" s="80"/>
      <c r="T255" s="80"/>
    </row>
    <row r="256" spans="1:20" s="88" customFormat="1" ht="12.75" customHeight="1">
      <c r="A256" s="883"/>
      <c r="B256" s="95">
        <v>7</v>
      </c>
      <c r="C256" s="336" t="s">
        <v>315</v>
      </c>
      <c r="D256" s="382">
        <v>40</v>
      </c>
      <c r="E256" s="35">
        <v>1996</v>
      </c>
      <c r="F256" s="248">
        <f t="shared" si="48"/>
        <v>45.656</v>
      </c>
      <c r="G256" s="427">
        <v>6.426</v>
      </c>
      <c r="H256" s="427">
        <v>6.4</v>
      </c>
      <c r="I256" s="427">
        <v>32.83</v>
      </c>
      <c r="J256" s="432">
        <v>2226.71</v>
      </c>
      <c r="K256" s="800">
        <v>32.83</v>
      </c>
      <c r="L256" s="432">
        <v>2226.71</v>
      </c>
      <c r="M256" s="128">
        <f t="shared" si="49"/>
        <v>0.014743725047267044</v>
      </c>
      <c r="N256" s="127">
        <v>306.508</v>
      </c>
      <c r="O256" s="127">
        <f t="shared" si="50"/>
        <v>4.519069676787726</v>
      </c>
      <c r="P256" s="417">
        <f t="shared" si="51"/>
        <v>884.6235028360227</v>
      </c>
      <c r="Q256" s="157">
        <f t="shared" si="52"/>
        <v>271.1441806072636</v>
      </c>
      <c r="S256" s="80"/>
      <c r="T256" s="80"/>
    </row>
    <row r="257" spans="1:20" s="88" customFormat="1" ht="12.75" customHeight="1">
      <c r="A257" s="883"/>
      <c r="B257" s="95">
        <v>8</v>
      </c>
      <c r="C257" s="336" t="s">
        <v>316</v>
      </c>
      <c r="D257" s="382">
        <v>62</v>
      </c>
      <c r="E257" s="35">
        <v>1971</v>
      </c>
      <c r="F257" s="248">
        <f t="shared" si="48"/>
        <v>68.037</v>
      </c>
      <c r="G257" s="427">
        <v>6.055026000000001</v>
      </c>
      <c r="H257" s="427">
        <v>9.6</v>
      </c>
      <c r="I257" s="427">
        <v>52.381974</v>
      </c>
      <c r="J257" s="432">
        <v>3450.01</v>
      </c>
      <c r="K257" s="800">
        <v>52.381974</v>
      </c>
      <c r="L257" s="432">
        <v>3450.01</v>
      </c>
      <c r="M257" s="128">
        <f t="shared" si="49"/>
        <v>0.015183136860472866</v>
      </c>
      <c r="N257" s="127">
        <v>306.508</v>
      </c>
      <c r="O257" s="127">
        <f t="shared" si="50"/>
        <v>4.653752912829817</v>
      </c>
      <c r="P257" s="417">
        <f t="shared" si="51"/>
        <v>910.9882116283719</v>
      </c>
      <c r="Q257" s="157">
        <f t="shared" si="52"/>
        <v>279.225174769789</v>
      </c>
      <c r="S257" s="80"/>
      <c r="T257" s="80"/>
    </row>
    <row r="258" spans="1:20" s="88" customFormat="1" ht="12.75" customHeight="1">
      <c r="A258" s="883"/>
      <c r="B258" s="95">
        <v>9</v>
      </c>
      <c r="C258" s="336" t="s">
        <v>317</v>
      </c>
      <c r="D258" s="382">
        <v>61</v>
      </c>
      <c r="E258" s="35">
        <v>1970</v>
      </c>
      <c r="F258" s="248">
        <f>+G258+H258+I258</f>
        <v>64.19598500000001</v>
      </c>
      <c r="G258" s="427">
        <v>6.160168</v>
      </c>
      <c r="H258" s="427">
        <v>9.6</v>
      </c>
      <c r="I258" s="427">
        <v>48.435817</v>
      </c>
      <c r="J258" s="432">
        <v>3138.23</v>
      </c>
      <c r="K258" s="800">
        <v>48.435817</v>
      </c>
      <c r="L258" s="432">
        <v>3138.23</v>
      </c>
      <c r="M258" s="128">
        <f t="shared" si="49"/>
        <v>0.01543411955146691</v>
      </c>
      <c r="N258" s="127">
        <v>306.508</v>
      </c>
      <c r="O258" s="127">
        <f t="shared" si="50"/>
        <v>4.730681115481019</v>
      </c>
      <c r="P258" s="417">
        <f t="shared" si="51"/>
        <v>926.0471730880147</v>
      </c>
      <c r="Q258" s="157">
        <f t="shared" si="52"/>
        <v>283.84086692886115</v>
      </c>
      <c r="S258" s="80"/>
      <c r="T258" s="80"/>
    </row>
    <row r="259" spans="1:20" s="88" customFormat="1" ht="12.75" customHeight="1" thickBot="1">
      <c r="A259" s="884"/>
      <c r="B259" s="114">
        <v>10</v>
      </c>
      <c r="C259" s="76"/>
      <c r="D259" s="37"/>
      <c r="E259" s="37"/>
      <c r="F259" s="250"/>
      <c r="G259" s="250"/>
      <c r="H259" s="250"/>
      <c r="I259" s="250"/>
      <c r="J259" s="171"/>
      <c r="K259" s="205"/>
      <c r="L259" s="171"/>
      <c r="M259" s="205"/>
      <c r="N259" s="158"/>
      <c r="O259" s="158"/>
      <c r="P259" s="158"/>
      <c r="Q259" s="159"/>
      <c r="S259" s="80"/>
      <c r="T259" s="80"/>
    </row>
    <row r="260" spans="1:20" s="88" customFormat="1" ht="12.75" customHeight="1">
      <c r="A260" s="1017" t="s">
        <v>30</v>
      </c>
      <c r="B260" s="278">
        <v>1</v>
      </c>
      <c r="C260" s="337" t="s">
        <v>318</v>
      </c>
      <c r="D260" s="368">
        <v>20</v>
      </c>
      <c r="E260" s="218">
        <v>1986</v>
      </c>
      <c r="F260" s="325">
        <f>+G260+H260+I260</f>
        <v>34.134001000000005</v>
      </c>
      <c r="G260" s="533">
        <v>2.4147</v>
      </c>
      <c r="H260" s="533">
        <v>3.2</v>
      </c>
      <c r="I260" s="533">
        <v>28.519301000000002</v>
      </c>
      <c r="J260" s="534">
        <v>1056.91</v>
      </c>
      <c r="K260" s="866">
        <v>28.519301000000002</v>
      </c>
      <c r="L260" s="534">
        <v>1056.91</v>
      </c>
      <c r="M260" s="268">
        <f>+K260/L260</f>
        <v>0.02698366086043277</v>
      </c>
      <c r="N260" s="267">
        <v>306.508</v>
      </c>
      <c r="O260" s="267">
        <f>+M260*N260</f>
        <v>8.270707923009526</v>
      </c>
      <c r="P260" s="556">
        <f>+M260*60*1000</f>
        <v>1619.0196516259664</v>
      </c>
      <c r="Q260" s="269">
        <f>+O260*60</f>
        <v>496.2424753805716</v>
      </c>
      <c r="S260" s="80"/>
      <c r="T260" s="80"/>
    </row>
    <row r="261" spans="1:20" s="88" customFormat="1" ht="12.75">
      <c r="A261" s="1018"/>
      <c r="B261" s="260">
        <v>2</v>
      </c>
      <c r="C261" s="337" t="s">
        <v>319</v>
      </c>
      <c r="D261" s="368">
        <v>20</v>
      </c>
      <c r="E261" s="219">
        <v>1986</v>
      </c>
      <c r="F261" s="270">
        <f aca="true" t="shared" si="53" ref="F261:F268">+G261+H261+I261</f>
        <v>35.892998</v>
      </c>
      <c r="G261" s="428">
        <v>3.0693490000000003</v>
      </c>
      <c r="H261" s="428">
        <v>3.2</v>
      </c>
      <c r="I261" s="428">
        <v>29.623649</v>
      </c>
      <c r="J261" s="433">
        <v>1094.49</v>
      </c>
      <c r="K261" s="801">
        <v>29.623649</v>
      </c>
      <c r="L261" s="433">
        <v>1094.49</v>
      </c>
      <c r="M261" s="272">
        <f aca="true" t="shared" si="54" ref="M261:M268">+K261/L261</f>
        <v>0.027066166890515216</v>
      </c>
      <c r="N261" s="271">
        <v>306.508</v>
      </c>
      <c r="O261" s="271">
        <f aca="true" t="shared" si="55" ref="O261:O268">+M261*N261</f>
        <v>8.295996681278037</v>
      </c>
      <c r="P261" s="556">
        <f aca="true" t="shared" si="56" ref="P261:P268">+M261*60*1000</f>
        <v>1623.970013430913</v>
      </c>
      <c r="Q261" s="269">
        <f aca="true" t="shared" si="57" ref="Q261:Q268">+O261*60</f>
        <v>497.7598008766822</v>
      </c>
      <c r="S261" s="80"/>
      <c r="T261" s="80"/>
    </row>
    <row r="262" spans="1:20" s="88" customFormat="1" ht="12.75">
      <c r="A262" s="1018"/>
      <c r="B262" s="260">
        <v>3</v>
      </c>
      <c r="C262" s="337" t="s">
        <v>320</v>
      </c>
      <c r="D262" s="368">
        <v>22</v>
      </c>
      <c r="E262" s="219">
        <v>1981</v>
      </c>
      <c r="F262" s="270">
        <f t="shared" si="53"/>
        <v>37.326899999999995</v>
      </c>
      <c r="G262" s="428">
        <v>1.5078460000000002</v>
      </c>
      <c r="H262" s="428">
        <v>3.52</v>
      </c>
      <c r="I262" s="428">
        <v>32.299054</v>
      </c>
      <c r="J262" s="433">
        <v>1188.16</v>
      </c>
      <c r="K262" s="801">
        <v>32.299054</v>
      </c>
      <c r="L262" s="433">
        <v>1188.16</v>
      </c>
      <c r="M262" s="272">
        <f t="shared" si="54"/>
        <v>0.02718409473471586</v>
      </c>
      <c r="N262" s="271">
        <v>306.508</v>
      </c>
      <c r="O262" s="271">
        <f t="shared" si="55"/>
        <v>8.332142508948289</v>
      </c>
      <c r="P262" s="556">
        <f t="shared" si="56"/>
        <v>1631.0456840829518</v>
      </c>
      <c r="Q262" s="269">
        <f t="shared" si="57"/>
        <v>499.9285505368973</v>
      </c>
      <c r="S262" s="80"/>
      <c r="T262" s="80"/>
    </row>
    <row r="263" spans="1:20" s="88" customFormat="1" ht="12.75">
      <c r="A263" s="1018"/>
      <c r="B263" s="260">
        <v>4</v>
      </c>
      <c r="C263" s="337" t="s">
        <v>321</v>
      </c>
      <c r="D263" s="368">
        <v>21</v>
      </c>
      <c r="E263" s="219">
        <v>1983</v>
      </c>
      <c r="F263" s="270">
        <f t="shared" si="53"/>
        <v>32.810001</v>
      </c>
      <c r="G263" s="428">
        <v>1.5045</v>
      </c>
      <c r="H263" s="428">
        <v>3.2</v>
      </c>
      <c r="I263" s="428">
        <v>28.105501</v>
      </c>
      <c r="J263" s="433">
        <v>1033.25</v>
      </c>
      <c r="K263" s="801">
        <v>28.105501</v>
      </c>
      <c r="L263" s="433">
        <v>1033.25</v>
      </c>
      <c r="M263" s="272">
        <f t="shared" si="54"/>
        <v>0.027201065569804016</v>
      </c>
      <c r="N263" s="271">
        <v>306.508</v>
      </c>
      <c r="O263" s="271">
        <f t="shared" si="55"/>
        <v>8.337344205669488</v>
      </c>
      <c r="P263" s="556">
        <f t="shared" si="56"/>
        <v>1632.063934188241</v>
      </c>
      <c r="Q263" s="269">
        <f t="shared" si="57"/>
        <v>500.2406523401693</v>
      </c>
      <c r="S263" s="80"/>
      <c r="T263" s="80"/>
    </row>
    <row r="264" spans="1:20" s="88" customFormat="1" ht="12.75">
      <c r="A264" s="1018"/>
      <c r="B264" s="260">
        <v>5</v>
      </c>
      <c r="C264" s="337" t="s">
        <v>322</v>
      </c>
      <c r="D264" s="368">
        <v>24</v>
      </c>
      <c r="E264" s="219">
        <v>1988</v>
      </c>
      <c r="F264" s="270">
        <f t="shared" si="53"/>
        <v>36.6368</v>
      </c>
      <c r="G264" s="428">
        <v>2.6561700000000004</v>
      </c>
      <c r="H264" s="428">
        <v>3.84</v>
      </c>
      <c r="I264" s="428">
        <v>30.14063</v>
      </c>
      <c r="J264" s="433">
        <v>1101.48</v>
      </c>
      <c r="K264" s="801">
        <v>30.14063</v>
      </c>
      <c r="L264" s="433">
        <v>1101.48</v>
      </c>
      <c r="M264" s="272">
        <f t="shared" si="54"/>
        <v>0.027363756037331592</v>
      </c>
      <c r="N264" s="271">
        <v>306.508</v>
      </c>
      <c r="O264" s="271">
        <f>+M264*N264</f>
        <v>8.387210135490431</v>
      </c>
      <c r="P264" s="556">
        <f t="shared" si="56"/>
        <v>1641.8253622398954</v>
      </c>
      <c r="Q264" s="269">
        <f t="shared" si="57"/>
        <v>503.23260812942584</v>
      </c>
      <c r="S264" s="80"/>
      <c r="T264" s="80"/>
    </row>
    <row r="265" spans="1:20" s="88" customFormat="1" ht="12.75">
      <c r="A265" s="1018"/>
      <c r="B265" s="260">
        <v>6</v>
      </c>
      <c r="C265" s="337" t="s">
        <v>323</v>
      </c>
      <c r="D265" s="368">
        <v>20</v>
      </c>
      <c r="E265" s="219">
        <v>1990</v>
      </c>
      <c r="F265" s="270">
        <f t="shared" si="53"/>
        <v>34.005004</v>
      </c>
      <c r="G265" s="428">
        <v>1.55614</v>
      </c>
      <c r="H265" s="428">
        <v>3.2</v>
      </c>
      <c r="I265" s="428">
        <v>29.248863999999998</v>
      </c>
      <c r="J265" s="433">
        <v>1056.63</v>
      </c>
      <c r="K265" s="801">
        <v>29.248863999999998</v>
      </c>
      <c r="L265" s="433">
        <v>1056.63</v>
      </c>
      <c r="M265" s="272">
        <f t="shared" si="54"/>
        <v>0.02768127348267605</v>
      </c>
      <c r="N265" s="271">
        <v>306.508</v>
      </c>
      <c r="O265" s="271">
        <f t="shared" si="55"/>
        <v>8.48453177262807</v>
      </c>
      <c r="P265" s="556">
        <f t="shared" si="56"/>
        <v>1660.876408960563</v>
      </c>
      <c r="Q265" s="269">
        <f t="shared" si="57"/>
        <v>509.0719063576842</v>
      </c>
      <c r="S265" s="80"/>
      <c r="T265" s="80"/>
    </row>
    <row r="266" spans="1:20" s="88" customFormat="1" ht="12.75">
      <c r="A266" s="1018"/>
      <c r="B266" s="260">
        <v>7</v>
      </c>
      <c r="C266" s="337" t="s">
        <v>324</v>
      </c>
      <c r="D266" s="368">
        <v>13</v>
      </c>
      <c r="E266" s="219">
        <v>1980</v>
      </c>
      <c r="F266" s="270">
        <f t="shared" si="53"/>
        <v>17.564000999999998</v>
      </c>
      <c r="G266" s="428">
        <v>0.987331</v>
      </c>
      <c r="H266" s="428">
        <v>1.28</v>
      </c>
      <c r="I266" s="428">
        <v>15.296669999999999</v>
      </c>
      <c r="J266" s="433">
        <v>997.63</v>
      </c>
      <c r="K266" s="801">
        <v>15.296669999999999</v>
      </c>
      <c r="L266" s="433">
        <v>551.26</v>
      </c>
      <c r="M266" s="272">
        <f t="shared" si="54"/>
        <v>0.027748557849290714</v>
      </c>
      <c r="N266" s="271">
        <v>306.508</v>
      </c>
      <c r="O266" s="271">
        <f t="shared" si="55"/>
        <v>8.505154969270398</v>
      </c>
      <c r="P266" s="556">
        <f t="shared" si="56"/>
        <v>1664.913470957443</v>
      </c>
      <c r="Q266" s="269">
        <f t="shared" si="57"/>
        <v>510.3092981562239</v>
      </c>
      <c r="S266" s="80"/>
      <c r="T266" s="80"/>
    </row>
    <row r="267" spans="1:20" s="88" customFormat="1" ht="12.75">
      <c r="A267" s="1018"/>
      <c r="B267" s="260">
        <v>8</v>
      </c>
      <c r="C267" s="337" t="s">
        <v>325</v>
      </c>
      <c r="D267" s="368">
        <v>19</v>
      </c>
      <c r="E267" s="219">
        <v>1984</v>
      </c>
      <c r="F267" s="270">
        <f t="shared" si="53"/>
        <v>33.301227</v>
      </c>
      <c r="G267" s="428">
        <v>1.5147</v>
      </c>
      <c r="H267" s="428">
        <v>3.04</v>
      </c>
      <c r="I267" s="428">
        <v>28.746527</v>
      </c>
      <c r="J267" s="433">
        <v>1100.8</v>
      </c>
      <c r="K267" s="801">
        <v>28.746527</v>
      </c>
      <c r="L267" s="433">
        <v>1030.98</v>
      </c>
      <c r="M267" s="272">
        <f t="shared" si="54"/>
        <v>0.027882720324351587</v>
      </c>
      <c r="N267" s="271">
        <v>306.508</v>
      </c>
      <c r="O267" s="271">
        <f t="shared" si="55"/>
        <v>8.546276841176356</v>
      </c>
      <c r="P267" s="556">
        <f t="shared" si="56"/>
        <v>1672.9632194610954</v>
      </c>
      <c r="Q267" s="269">
        <f t="shared" si="57"/>
        <v>512.7766104705813</v>
      </c>
      <c r="S267" s="80"/>
      <c r="T267" s="80"/>
    </row>
    <row r="268" spans="1:20" s="88" customFormat="1" ht="12.75">
      <c r="A268" s="1018"/>
      <c r="B268" s="260">
        <v>9</v>
      </c>
      <c r="C268" s="337" t="s">
        <v>326</v>
      </c>
      <c r="D268" s="368">
        <v>16</v>
      </c>
      <c r="E268" s="219">
        <v>1988</v>
      </c>
      <c r="F268" s="270">
        <f t="shared" si="53"/>
        <v>28.718649999999997</v>
      </c>
      <c r="G268" s="428">
        <v>1.7850000000000001</v>
      </c>
      <c r="H268" s="428">
        <v>2.24</v>
      </c>
      <c r="I268" s="428">
        <v>24.693649999999998</v>
      </c>
      <c r="J268" s="433">
        <v>967.12</v>
      </c>
      <c r="K268" s="801">
        <v>24.693649999999998</v>
      </c>
      <c r="L268" s="433">
        <v>884.41</v>
      </c>
      <c r="M268" s="272">
        <f t="shared" si="54"/>
        <v>0.027921043407469384</v>
      </c>
      <c r="N268" s="271">
        <v>306.508</v>
      </c>
      <c r="O268" s="271">
        <f t="shared" si="55"/>
        <v>8.558023172736625</v>
      </c>
      <c r="P268" s="556">
        <f t="shared" si="56"/>
        <v>1675.262604448163</v>
      </c>
      <c r="Q268" s="269">
        <f t="shared" si="57"/>
        <v>513.4813903641975</v>
      </c>
      <c r="S268" s="80"/>
      <c r="T268" s="80"/>
    </row>
    <row r="269" spans="1:20" s="88" customFormat="1" ht="13.5" thickBot="1">
      <c r="A269" s="1019"/>
      <c r="B269" s="279">
        <v>10</v>
      </c>
      <c r="C269" s="258"/>
      <c r="D269" s="232"/>
      <c r="E269" s="232"/>
      <c r="F269" s="274"/>
      <c r="G269" s="274"/>
      <c r="H269" s="274"/>
      <c r="I269" s="274"/>
      <c r="J269" s="263"/>
      <c r="K269" s="276"/>
      <c r="L269" s="263"/>
      <c r="M269" s="276"/>
      <c r="N269" s="275"/>
      <c r="O269" s="275"/>
      <c r="P269" s="275"/>
      <c r="Q269" s="277"/>
      <c r="S269" s="80"/>
      <c r="T269" s="80"/>
    </row>
    <row r="270" spans="1:20" s="88" customFormat="1" ht="12.75" customHeight="1">
      <c r="A270" s="1039" t="s">
        <v>12</v>
      </c>
      <c r="B270" s="96">
        <v>1</v>
      </c>
      <c r="C270" s="338" t="s">
        <v>327</v>
      </c>
      <c r="D270" s="369">
        <v>12</v>
      </c>
      <c r="E270" s="38">
        <v>1993</v>
      </c>
      <c r="F270" s="294">
        <f>+G270+H270+I270</f>
        <v>22.878003</v>
      </c>
      <c r="G270" s="430">
        <v>0.9690000000000001</v>
      </c>
      <c r="H270" s="430">
        <v>1.92</v>
      </c>
      <c r="I270" s="430">
        <v>19.989003</v>
      </c>
      <c r="J270" s="435">
        <v>709.27</v>
      </c>
      <c r="K270" s="803">
        <v>19.989003</v>
      </c>
      <c r="L270" s="435">
        <v>709.27</v>
      </c>
      <c r="M270" s="283">
        <f>+K270/L270</f>
        <v>0.028182501727127895</v>
      </c>
      <c r="N270" s="284">
        <v>306.508</v>
      </c>
      <c r="O270" s="284">
        <f>+M270*N270</f>
        <v>8.638162239378516</v>
      </c>
      <c r="P270" s="419">
        <f>+M270*60*1000</f>
        <v>1690.9501036276738</v>
      </c>
      <c r="Q270" s="416">
        <f>+O270*60</f>
        <v>518.289734362711</v>
      </c>
      <c r="S270" s="80"/>
      <c r="T270" s="80"/>
    </row>
    <row r="271" spans="1:20" s="88" customFormat="1" ht="12.75">
      <c r="A271" s="1040"/>
      <c r="B271" s="97">
        <v>2</v>
      </c>
      <c r="C271" s="338" t="s">
        <v>328</v>
      </c>
      <c r="D271" s="369">
        <v>15</v>
      </c>
      <c r="E271" s="40">
        <v>1996</v>
      </c>
      <c r="F271" s="295">
        <f aca="true" t="shared" si="58" ref="F271:F278">+G271+H271+I271</f>
        <v>29.126999</v>
      </c>
      <c r="G271" s="429">
        <v>1.98542</v>
      </c>
      <c r="H271" s="429">
        <v>2.4</v>
      </c>
      <c r="I271" s="429">
        <v>24.741579</v>
      </c>
      <c r="J271" s="434">
        <v>871.63</v>
      </c>
      <c r="K271" s="802">
        <v>24.741579</v>
      </c>
      <c r="L271" s="434">
        <v>871.63</v>
      </c>
      <c r="M271" s="289">
        <f aca="true" t="shared" si="59" ref="M271:M278">+K271/L271</f>
        <v>0.02838541468283561</v>
      </c>
      <c r="N271" s="290">
        <v>306.508</v>
      </c>
      <c r="O271" s="290">
        <f aca="true" t="shared" si="60" ref="O271:O278">+M271*N271</f>
        <v>8.700356683606577</v>
      </c>
      <c r="P271" s="419">
        <f aca="true" t="shared" si="61" ref="P271:P278">+M271*60*1000</f>
        <v>1703.1248809701365</v>
      </c>
      <c r="Q271" s="285">
        <f aca="true" t="shared" si="62" ref="Q271:Q278">+O271*60</f>
        <v>522.0214010163946</v>
      </c>
      <c r="S271" s="80"/>
      <c r="T271" s="80"/>
    </row>
    <row r="272" spans="1:20" s="88" customFormat="1" ht="12.75">
      <c r="A272" s="1040"/>
      <c r="B272" s="97">
        <v>3</v>
      </c>
      <c r="C272" s="338" t="s">
        <v>329</v>
      </c>
      <c r="D272" s="369">
        <v>8</v>
      </c>
      <c r="E272" s="40">
        <v>1970</v>
      </c>
      <c r="F272" s="295">
        <f t="shared" si="58"/>
        <v>11.303001</v>
      </c>
      <c r="G272" s="429">
        <v>0</v>
      </c>
      <c r="H272" s="429">
        <v>0</v>
      </c>
      <c r="I272" s="429">
        <v>11.303001</v>
      </c>
      <c r="J272" s="434">
        <v>397.79</v>
      </c>
      <c r="K272" s="802">
        <v>11.303001</v>
      </c>
      <c r="L272" s="434">
        <v>397.79</v>
      </c>
      <c r="M272" s="289">
        <f t="shared" si="59"/>
        <v>0.0284144925714573</v>
      </c>
      <c r="N272" s="290">
        <v>306.508</v>
      </c>
      <c r="O272" s="290">
        <f t="shared" si="60"/>
        <v>8.709269289092234</v>
      </c>
      <c r="P272" s="419">
        <f t="shared" si="61"/>
        <v>1704.8695542874382</v>
      </c>
      <c r="Q272" s="285">
        <f t="shared" si="62"/>
        <v>522.5561573455341</v>
      </c>
      <c r="S272" s="80"/>
      <c r="T272" s="80"/>
    </row>
    <row r="273" spans="1:20" s="88" customFormat="1" ht="12.75">
      <c r="A273" s="1040"/>
      <c r="B273" s="97">
        <v>4</v>
      </c>
      <c r="C273" s="338" t="s">
        <v>330</v>
      </c>
      <c r="D273" s="369">
        <v>21</v>
      </c>
      <c r="E273" s="40">
        <v>1984</v>
      </c>
      <c r="F273" s="295">
        <f t="shared" si="58"/>
        <v>36.881</v>
      </c>
      <c r="G273" s="429">
        <v>1.989</v>
      </c>
      <c r="H273" s="429">
        <v>3.2</v>
      </c>
      <c r="I273" s="429">
        <v>31.692</v>
      </c>
      <c r="J273" s="434">
        <v>1105.8500000000001</v>
      </c>
      <c r="K273" s="802">
        <v>31.692</v>
      </c>
      <c r="L273" s="434">
        <v>1105.8500000000001</v>
      </c>
      <c r="M273" s="289">
        <f t="shared" si="59"/>
        <v>0.02865849798797305</v>
      </c>
      <c r="N273" s="290">
        <v>306.508</v>
      </c>
      <c r="O273" s="290">
        <f t="shared" si="60"/>
        <v>8.784058901297643</v>
      </c>
      <c r="P273" s="419">
        <f t="shared" si="61"/>
        <v>1719.5098792783829</v>
      </c>
      <c r="Q273" s="285">
        <f t="shared" si="62"/>
        <v>527.0435340778586</v>
      </c>
      <c r="S273" s="80"/>
      <c r="T273" s="80"/>
    </row>
    <row r="274" spans="1:20" s="88" customFormat="1" ht="12.75">
      <c r="A274" s="1040"/>
      <c r="B274" s="97">
        <v>5</v>
      </c>
      <c r="C274" s="338" t="s">
        <v>331</v>
      </c>
      <c r="D274" s="369">
        <v>20</v>
      </c>
      <c r="E274" s="40">
        <v>1979</v>
      </c>
      <c r="F274" s="295">
        <f t="shared" si="58"/>
        <v>33.318703</v>
      </c>
      <c r="G274" s="429">
        <v>1.6098</v>
      </c>
      <c r="H274" s="429">
        <v>3.12</v>
      </c>
      <c r="I274" s="429">
        <v>28.588903000000002</v>
      </c>
      <c r="J274" s="434">
        <v>1059.35</v>
      </c>
      <c r="K274" s="802">
        <v>28.588903000000002</v>
      </c>
      <c r="L274" s="434">
        <v>996.14</v>
      </c>
      <c r="M274" s="289">
        <f t="shared" si="59"/>
        <v>0.028699683779388443</v>
      </c>
      <c r="N274" s="290">
        <v>306.508</v>
      </c>
      <c r="O274" s="290">
        <f t="shared" si="60"/>
        <v>8.796682675852793</v>
      </c>
      <c r="P274" s="419">
        <f t="shared" si="61"/>
        <v>1721.9810267633068</v>
      </c>
      <c r="Q274" s="285">
        <f t="shared" si="62"/>
        <v>527.8009605511676</v>
      </c>
      <c r="S274" s="80"/>
      <c r="T274" s="80"/>
    </row>
    <row r="275" spans="1:20" s="88" customFormat="1" ht="12.75">
      <c r="A275" s="1040"/>
      <c r="B275" s="97">
        <v>6</v>
      </c>
      <c r="C275" s="338" t="s">
        <v>332</v>
      </c>
      <c r="D275" s="369">
        <v>20</v>
      </c>
      <c r="E275" s="40">
        <v>1987</v>
      </c>
      <c r="F275" s="295">
        <f t="shared" si="58"/>
        <v>37.404900000000005</v>
      </c>
      <c r="G275" s="429">
        <v>1.781512</v>
      </c>
      <c r="H275" s="429">
        <v>3.2</v>
      </c>
      <c r="I275" s="429">
        <v>32.423388</v>
      </c>
      <c r="J275" s="434">
        <v>1112.57</v>
      </c>
      <c r="K275" s="802">
        <v>32.423388</v>
      </c>
      <c r="L275" s="434">
        <v>1112.57</v>
      </c>
      <c r="M275" s="289">
        <f t="shared" si="59"/>
        <v>0.02914278472365784</v>
      </c>
      <c r="N275" s="290">
        <v>306.508</v>
      </c>
      <c r="O275" s="290">
        <f t="shared" si="60"/>
        <v>8.932496660078916</v>
      </c>
      <c r="P275" s="419">
        <f t="shared" si="61"/>
        <v>1748.5670834194705</v>
      </c>
      <c r="Q275" s="285">
        <f t="shared" si="62"/>
        <v>535.949799604735</v>
      </c>
      <c r="S275" s="80"/>
      <c r="T275" s="80"/>
    </row>
    <row r="276" spans="1:20" s="88" customFormat="1" ht="12.75">
      <c r="A276" s="1040"/>
      <c r="B276" s="97">
        <v>7</v>
      </c>
      <c r="C276" s="338" t="s">
        <v>333</v>
      </c>
      <c r="D276" s="369">
        <v>7</v>
      </c>
      <c r="E276" s="40">
        <v>1977</v>
      </c>
      <c r="F276" s="295">
        <f t="shared" si="58"/>
        <v>10.689003</v>
      </c>
      <c r="G276" s="429">
        <v>0.5366</v>
      </c>
      <c r="H276" s="429">
        <v>1.12</v>
      </c>
      <c r="I276" s="429">
        <v>9.032403</v>
      </c>
      <c r="J276" s="434">
        <v>360.39</v>
      </c>
      <c r="K276" s="802">
        <v>9.032403</v>
      </c>
      <c r="L276" s="434">
        <v>309.77</v>
      </c>
      <c r="M276" s="289">
        <f t="shared" si="59"/>
        <v>0.029158417535590925</v>
      </c>
      <c r="N276" s="290">
        <v>306.508</v>
      </c>
      <c r="O276" s="290">
        <f t="shared" si="60"/>
        <v>8.937288241998903</v>
      </c>
      <c r="P276" s="419">
        <f t="shared" si="61"/>
        <v>1749.5050521354556</v>
      </c>
      <c r="Q276" s="285">
        <f t="shared" si="62"/>
        <v>536.2372945199342</v>
      </c>
      <c r="S276" s="80"/>
      <c r="T276" s="80"/>
    </row>
    <row r="277" spans="1:20" s="88" customFormat="1" ht="12.75">
      <c r="A277" s="1040"/>
      <c r="B277" s="97">
        <v>8</v>
      </c>
      <c r="C277" s="338" t="s">
        <v>334</v>
      </c>
      <c r="D277" s="369">
        <v>10</v>
      </c>
      <c r="E277" s="40">
        <v>1964</v>
      </c>
      <c r="F277" s="295">
        <f t="shared" si="58"/>
        <v>16.944001</v>
      </c>
      <c r="G277" s="429">
        <v>1.175154</v>
      </c>
      <c r="H277" s="429">
        <v>1.6</v>
      </c>
      <c r="I277" s="429">
        <v>14.168847000000001</v>
      </c>
      <c r="J277" s="434">
        <v>460.17</v>
      </c>
      <c r="K277" s="802">
        <v>14.168847000000001</v>
      </c>
      <c r="L277" s="434">
        <v>460.17</v>
      </c>
      <c r="M277" s="289">
        <f t="shared" si="59"/>
        <v>0.030790462220483737</v>
      </c>
      <c r="N277" s="290">
        <v>306.508</v>
      </c>
      <c r="O277" s="290">
        <f t="shared" si="60"/>
        <v>9.437522994276028</v>
      </c>
      <c r="P277" s="419">
        <f t="shared" si="61"/>
        <v>1847.4277332290242</v>
      </c>
      <c r="Q277" s="285">
        <f t="shared" si="62"/>
        <v>566.2513796565617</v>
      </c>
      <c r="S277" s="80"/>
      <c r="T277" s="80"/>
    </row>
    <row r="278" spans="1:20" s="88" customFormat="1" ht="12.75">
      <c r="A278" s="1040"/>
      <c r="B278" s="97">
        <v>9</v>
      </c>
      <c r="C278" s="338" t="s">
        <v>335</v>
      </c>
      <c r="D278" s="369">
        <v>46</v>
      </c>
      <c r="E278" s="40">
        <v>1963</v>
      </c>
      <c r="F278" s="294">
        <f t="shared" si="58"/>
        <v>33.611908</v>
      </c>
      <c r="G278" s="430">
        <v>0.42928</v>
      </c>
      <c r="H278" s="430">
        <v>0</v>
      </c>
      <c r="I278" s="430">
        <v>33.182628</v>
      </c>
      <c r="J278" s="435">
        <v>1094</v>
      </c>
      <c r="K278" s="803">
        <v>33.182628</v>
      </c>
      <c r="L278" s="435">
        <v>1064.64</v>
      </c>
      <c r="M278" s="283">
        <f t="shared" si="59"/>
        <v>0.031167932822362486</v>
      </c>
      <c r="N278" s="284">
        <v>306.508</v>
      </c>
      <c r="O278" s="419">
        <f t="shared" si="60"/>
        <v>9.55322075351668</v>
      </c>
      <c r="P278" s="419">
        <f t="shared" si="61"/>
        <v>1870.0759693417492</v>
      </c>
      <c r="Q278" s="285">
        <f t="shared" si="62"/>
        <v>573.1932452110008</v>
      </c>
      <c r="S278" s="80"/>
      <c r="T278" s="80"/>
    </row>
    <row r="279" spans="1:20" s="88" customFormat="1" ht="13.5" thickBot="1">
      <c r="A279" s="1041"/>
      <c r="B279" s="98">
        <v>10</v>
      </c>
      <c r="C279" s="312"/>
      <c r="D279" s="98"/>
      <c r="E279" s="98"/>
      <c r="F279" s="313"/>
      <c r="G279" s="313"/>
      <c r="H279" s="313"/>
      <c r="I279" s="313"/>
      <c r="J279" s="314"/>
      <c r="K279" s="315"/>
      <c r="L279" s="314"/>
      <c r="M279" s="316"/>
      <c r="N279" s="313"/>
      <c r="O279" s="313"/>
      <c r="P279" s="313"/>
      <c r="Q279" s="317"/>
      <c r="S279" s="80"/>
      <c r="T279" s="80"/>
    </row>
    <row r="280" spans="19:20" ht="12.75">
      <c r="S280" s="80"/>
      <c r="T280" s="80"/>
    </row>
    <row r="281" spans="19:20" ht="12.75">
      <c r="S281" s="80"/>
      <c r="T281" s="80"/>
    </row>
    <row r="282" spans="19:20" ht="12.75">
      <c r="S282" s="80"/>
      <c r="T282" s="80"/>
    </row>
    <row r="283" spans="19:20" ht="12.75">
      <c r="S283" s="80"/>
      <c r="T283" s="80"/>
    </row>
    <row r="284" spans="1:20" ht="15">
      <c r="A284" s="907" t="s">
        <v>60</v>
      </c>
      <c r="B284" s="907"/>
      <c r="C284" s="907"/>
      <c r="D284" s="907"/>
      <c r="E284" s="907"/>
      <c r="F284" s="907"/>
      <c r="G284" s="907"/>
      <c r="H284" s="907"/>
      <c r="I284" s="907"/>
      <c r="J284" s="907"/>
      <c r="K284" s="907"/>
      <c r="L284" s="907"/>
      <c r="M284" s="907"/>
      <c r="N284" s="907"/>
      <c r="O284" s="907"/>
      <c r="P284" s="907"/>
      <c r="Q284" s="907"/>
      <c r="S284" s="80"/>
      <c r="T284" s="80"/>
    </row>
    <row r="285" spans="1:20" ht="13.5" thickBot="1">
      <c r="A285" s="894" t="s">
        <v>336</v>
      </c>
      <c r="B285" s="894"/>
      <c r="C285" s="894"/>
      <c r="D285" s="894"/>
      <c r="E285" s="894"/>
      <c r="F285" s="894"/>
      <c r="G285" s="894"/>
      <c r="H285" s="894"/>
      <c r="I285" s="894"/>
      <c r="J285" s="894"/>
      <c r="K285" s="894"/>
      <c r="L285" s="894"/>
      <c r="M285" s="894"/>
      <c r="N285" s="894"/>
      <c r="O285" s="894"/>
      <c r="P285" s="894"/>
      <c r="Q285" s="894"/>
      <c r="S285" s="80"/>
      <c r="T285" s="80"/>
    </row>
    <row r="286" spans="1:20" ht="12.75" customHeight="1">
      <c r="A286" s="885" t="s">
        <v>1</v>
      </c>
      <c r="B286" s="908" t="s">
        <v>0</v>
      </c>
      <c r="C286" s="920" t="s">
        <v>2</v>
      </c>
      <c r="D286" s="880" t="s">
        <v>3</v>
      </c>
      <c r="E286" s="880" t="s">
        <v>13</v>
      </c>
      <c r="F286" s="911" t="s">
        <v>14</v>
      </c>
      <c r="G286" s="912"/>
      <c r="H286" s="912"/>
      <c r="I286" s="913"/>
      <c r="J286" s="880" t="s">
        <v>4</v>
      </c>
      <c r="K286" s="880" t="s">
        <v>15</v>
      </c>
      <c r="L286" s="880" t="s">
        <v>5</v>
      </c>
      <c r="M286" s="880" t="s">
        <v>6</v>
      </c>
      <c r="N286" s="880" t="s">
        <v>16</v>
      </c>
      <c r="O286" s="892" t="s">
        <v>17</v>
      </c>
      <c r="P286" s="880" t="s">
        <v>25</v>
      </c>
      <c r="Q286" s="890" t="s">
        <v>26</v>
      </c>
      <c r="S286" s="80"/>
      <c r="T286" s="80"/>
    </row>
    <row r="287" spans="1:20" s="2" customFormat="1" ht="33.75">
      <c r="A287" s="886"/>
      <c r="B287" s="909"/>
      <c r="C287" s="1020"/>
      <c r="D287" s="881"/>
      <c r="E287" s="881"/>
      <c r="F287" s="36" t="s">
        <v>18</v>
      </c>
      <c r="G287" s="36" t="s">
        <v>19</v>
      </c>
      <c r="H287" s="36" t="s">
        <v>20</v>
      </c>
      <c r="I287" s="36" t="s">
        <v>21</v>
      </c>
      <c r="J287" s="881"/>
      <c r="K287" s="881"/>
      <c r="L287" s="881"/>
      <c r="M287" s="881"/>
      <c r="N287" s="881"/>
      <c r="O287" s="893"/>
      <c r="P287" s="881"/>
      <c r="Q287" s="891"/>
      <c r="S287" s="80"/>
      <c r="T287" s="80"/>
    </row>
    <row r="288" spans="1:20" s="3" customFormat="1" ht="13.5" customHeight="1" thickBot="1">
      <c r="A288" s="887"/>
      <c r="B288" s="910"/>
      <c r="C288" s="1021"/>
      <c r="D288" s="52" t="s">
        <v>7</v>
      </c>
      <c r="E288" s="52" t="s">
        <v>8</v>
      </c>
      <c r="F288" s="52" t="s">
        <v>9</v>
      </c>
      <c r="G288" s="52" t="s">
        <v>9</v>
      </c>
      <c r="H288" s="52" t="s">
        <v>9</v>
      </c>
      <c r="I288" s="52" t="s">
        <v>9</v>
      </c>
      <c r="J288" s="52" t="s">
        <v>22</v>
      </c>
      <c r="K288" s="52" t="s">
        <v>9</v>
      </c>
      <c r="L288" s="52" t="s">
        <v>22</v>
      </c>
      <c r="M288" s="52" t="s">
        <v>23</v>
      </c>
      <c r="N288" s="52" t="s">
        <v>10</v>
      </c>
      <c r="O288" s="52" t="s">
        <v>24</v>
      </c>
      <c r="P288" s="53" t="s">
        <v>27</v>
      </c>
      <c r="Q288" s="54" t="s">
        <v>28</v>
      </c>
      <c r="S288" s="80"/>
      <c r="T288" s="80"/>
    </row>
    <row r="289" spans="1:20" s="3" customFormat="1" ht="13.5" customHeight="1">
      <c r="A289" s="878" t="s">
        <v>51</v>
      </c>
      <c r="B289" s="318">
        <v>1</v>
      </c>
      <c r="C289" s="244" t="s">
        <v>337</v>
      </c>
      <c r="D289" s="245">
        <v>20</v>
      </c>
      <c r="E289" s="245">
        <v>2010</v>
      </c>
      <c r="F289" s="235">
        <v>16.627</v>
      </c>
      <c r="G289" s="235">
        <v>1.785</v>
      </c>
      <c r="H289" s="235">
        <v>0.8</v>
      </c>
      <c r="I289" s="235">
        <v>14.042</v>
      </c>
      <c r="J289" s="86">
        <v>935.41</v>
      </c>
      <c r="K289" s="237">
        <v>14.042</v>
      </c>
      <c r="L289" s="86">
        <v>935.41</v>
      </c>
      <c r="M289" s="237">
        <f>K289/L289</f>
        <v>0.01501159919179825</v>
      </c>
      <c r="N289" s="236">
        <v>336.265</v>
      </c>
      <c r="O289" s="238">
        <f>M289*N289</f>
        <v>5.047875402230038</v>
      </c>
      <c r="P289" s="238">
        <f>M289*60*1000</f>
        <v>900.695951507895</v>
      </c>
      <c r="Q289" s="239">
        <f>P289*N289/1000</f>
        <v>302.8725241338023</v>
      </c>
      <c r="S289" s="80"/>
      <c r="T289" s="80"/>
    </row>
    <row r="290" spans="1:20" s="3" customFormat="1" ht="13.5" customHeight="1">
      <c r="A290" s="878"/>
      <c r="B290" s="115">
        <v>2</v>
      </c>
      <c r="C290" s="242"/>
      <c r="D290" s="243"/>
      <c r="E290" s="243"/>
      <c r="F290" s="339"/>
      <c r="G290" s="339"/>
      <c r="H290" s="339"/>
      <c r="I290" s="339"/>
      <c r="J290" s="341"/>
      <c r="K290" s="805"/>
      <c r="L290" s="341"/>
      <c r="M290" s="243"/>
      <c r="N290" s="243"/>
      <c r="O290" s="243"/>
      <c r="P290" s="243"/>
      <c r="Q290" s="321"/>
      <c r="S290" s="80"/>
      <c r="T290" s="80"/>
    </row>
    <row r="291" spans="1:20" s="3" customFormat="1" ht="13.5" customHeight="1">
      <c r="A291" s="878"/>
      <c r="B291" s="115">
        <v>3</v>
      </c>
      <c r="C291" s="242"/>
      <c r="D291" s="243"/>
      <c r="E291" s="243"/>
      <c r="F291" s="339"/>
      <c r="G291" s="339"/>
      <c r="H291" s="339"/>
      <c r="I291" s="339"/>
      <c r="J291" s="341"/>
      <c r="K291" s="805"/>
      <c r="L291" s="341"/>
      <c r="M291" s="243"/>
      <c r="N291" s="243"/>
      <c r="O291" s="243"/>
      <c r="P291" s="243"/>
      <c r="Q291" s="321"/>
      <c r="S291" s="80"/>
      <c r="T291" s="80"/>
    </row>
    <row r="292" spans="1:20" s="3" customFormat="1" ht="13.5" customHeight="1">
      <c r="A292" s="878"/>
      <c r="B292" s="115">
        <v>4</v>
      </c>
      <c r="C292" s="242"/>
      <c r="D292" s="243"/>
      <c r="E292" s="243"/>
      <c r="F292" s="339"/>
      <c r="G292" s="339"/>
      <c r="H292" s="339"/>
      <c r="I292" s="339"/>
      <c r="J292" s="341"/>
      <c r="K292" s="805"/>
      <c r="L292" s="341"/>
      <c r="M292" s="243"/>
      <c r="N292" s="243"/>
      <c r="O292" s="243"/>
      <c r="P292" s="243"/>
      <c r="Q292" s="321"/>
      <c r="S292" s="80"/>
      <c r="T292" s="80"/>
    </row>
    <row r="293" spans="1:20" s="3" customFormat="1" ht="13.5" customHeight="1">
      <c r="A293" s="878"/>
      <c r="B293" s="115">
        <v>5</v>
      </c>
      <c r="C293" s="242"/>
      <c r="D293" s="243"/>
      <c r="E293" s="243"/>
      <c r="F293" s="339"/>
      <c r="G293" s="339"/>
      <c r="H293" s="339"/>
      <c r="I293" s="339"/>
      <c r="J293" s="341"/>
      <c r="K293" s="805"/>
      <c r="L293" s="341"/>
      <c r="M293" s="243"/>
      <c r="N293" s="243"/>
      <c r="O293" s="243"/>
      <c r="P293" s="243"/>
      <c r="Q293" s="321"/>
      <c r="S293" s="80"/>
      <c r="T293" s="80"/>
    </row>
    <row r="294" spans="1:20" s="3" customFormat="1" ht="13.5" customHeight="1">
      <c r="A294" s="878"/>
      <c r="B294" s="115">
        <v>6</v>
      </c>
      <c r="C294" s="242"/>
      <c r="D294" s="243"/>
      <c r="E294" s="243"/>
      <c r="F294" s="339"/>
      <c r="G294" s="339"/>
      <c r="H294" s="339"/>
      <c r="I294" s="339"/>
      <c r="J294" s="341"/>
      <c r="K294" s="805"/>
      <c r="L294" s="341"/>
      <c r="M294" s="243"/>
      <c r="N294" s="243"/>
      <c r="O294" s="243"/>
      <c r="P294" s="243"/>
      <c r="Q294" s="321"/>
      <c r="S294" s="80"/>
      <c r="T294" s="80"/>
    </row>
    <row r="295" spans="1:20" s="3" customFormat="1" ht="13.5" customHeight="1">
      <c r="A295" s="878"/>
      <c r="B295" s="115">
        <v>7</v>
      </c>
      <c r="C295" s="242"/>
      <c r="D295" s="243"/>
      <c r="E295" s="243"/>
      <c r="F295" s="339"/>
      <c r="G295" s="339"/>
      <c r="H295" s="339"/>
      <c r="I295" s="339"/>
      <c r="J295" s="341"/>
      <c r="K295" s="805"/>
      <c r="L295" s="341"/>
      <c r="M295" s="243"/>
      <c r="N295" s="243"/>
      <c r="O295" s="243"/>
      <c r="P295" s="243"/>
      <c r="Q295" s="321"/>
      <c r="S295" s="80"/>
      <c r="T295" s="80"/>
    </row>
    <row r="296" spans="1:20" s="3" customFormat="1" ht="13.5" customHeight="1" thickBot="1">
      <c r="A296" s="879"/>
      <c r="B296" s="160">
        <v>8</v>
      </c>
      <c r="C296" s="319"/>
      <c r="D296" s="320"/>
      <c r="E296" s="320"/>
      <c r="F296" s="340"/>
      <c r="G296" s="340"/>
      <c r="H296" s="340"/>
      <c r="I296" s="340"/>
      <c r="J296" s="342"/>
      <c r="K296" s="806"/>
      <c r="L296" s="342"/>
      <c r="M296" s="320"/>
      <c r="N296" s="320"/>
      <c r="O296" s="320"/>
      <c r="P296" s="320"/>
      <c r="Q296" s="322"/>
      <c r="S296" s="80"/>
      <c r="T296" s="80"/>
    </row>
    <row r="297" spans="1:20" ht="12.75" customHeight="1">
      <c r="A297" s="882" t="s">
        <v>29</v>
      </c>
      <c r="B297" s="60">
        <v>1</v>
      </c>
      <c r="C297" s="174" t="s">
        <v>338</v>
      </c>
      <c r="D297" s="140">
        <v>50</v>
      </c>
      <c r="E297" s="140">
        <v>1974</v>
      </c>
      <c r="F297" s="247">
        <v>55.678</v>
      </c>
      <c r="G297" s="247">
        <v>4.08</v>
      </c>
      <c r="H297" s="247">
        <v>8</v>
      </c>
      <c r="I297" s="248">
        <v>43.598</v>
      </c>
      <c r="J297" s="397">
        <v>2591.85</v>
      </c>
      <c r="K297" s="405">
        <v>43.598</v>
      </c>
      <c r="L297" s="397">
        <v>2591.85</v>
      </c>
      <c r="M297" s="136">
        <f aca="true" t="shared" si="63" ref="M297:M326">K297/L297</f>
        <v>0.016821189497849026</v>
      </c>
      <c r="N297" s="137">
        <v>336.265</v>
      </c>
      <c r="O297" s="137">
        <f aca="true" t="shared" si="64" ref="O297:O326">M297*N297</f>
        <v>5.656377286494203</v>
      </c>
      <c r="P297" s="137">
        <f aca="true" t="shared" si="65" ref="P297:P326">M297*60*1000</f>
        <v>1009.2713698709415</v>
      </c>
      <c r="Q297" s="157">
        <f aca="true" t="shared" si="66" ref="Q297:Q326">P297*N297/1000</f>
        <v>339.38263718965214</v>
      </c>
      <c r="S297" s="80"/>
      <c r="T297" s="80"/>
    </row>
    <row r="298" spans="1:20" ht="11.25" customHeight="1">
      <c r="A298" s="883"/>
      <c r="B298" s="60">
        <v>2</v>
      </c>
      <c r="C298" s="174" t="s">
        <v>339</v>
      </c>
      <c r="D298" s="140">
        <v>40</v>
      </c>
      <c r="E298" s="140">
        <v>1987</v>
      </c>
      <c r="F298" s="248">
        <v>50.138</v>
      </c>
      <c r="G298" s="248">
        <v>3.315</v>
      </c>
      <c r="H298" s="248">
        <v>6.4</v>
      </c>
      <c r="I298" s="248">
        <v>40.423</v>
      </c>
      <c r="J298" s="110">
        <v>2280.42</v>
      </c>
      <c r="K298" s="128">
        <v>40.423</v>
      </c>
      <c r="L298" s="110">
        <v>2280.42</v>
      </c>
      <c r="M298" s="136">
        <f t="shared" si="63"/>
        <v>0.017726120626902063</v>
      </c>
      <c r="N298" s="127">
        <v>336.265</v>
      </c>
      <c r="O298" s="137">
        <f t="shared" si="64"/>
        <v>5.960673952605222</v>
      </c>
      <c r="P298" s="137">
        <f t="shared" si="65"/>
        <v>1063.5672376141238</v>
      </c>
      <c r="Q298" s="157">
        <f t="shared" si="66"/>
        <v>357.64043715631334</v>
      </c>
      <c r="S298" s="80"/>
      <c r="T298" s="80"/>
    </row>
    <row r="299" spans="1:20" ht="12.75" customHeight="1">
      <c r="A299" s="883"/>
      <c r="B299" s="35">
        <v>3</v>
      </c>
      <c r="C299" s="174" t="s">
        <v>340</v>
      </c>
      <c r="D299" s="140">
        <v>38</v>
      </c>
      <c r="E299" s="140">
        <v>1982</v>
      </c>
      <c r="F299" s="248">
        <v>50.867</v>
      </c>
      <c r="G299" s="248">
        <v>3.319</v>
      </c>
      <c r="H299" s="248">
        <v>6.4</v>
      </c>
      <c r="I299" s="248">
        <v>41.1484</v>
      </c>
      <c r="J299" s="110">
        <v>2278.82</v>
      </c>
      <c r="K299" s="128">
        <v>38.73</v>
      </c>
      <c r="L299" s="110">
        <v>2160.52</v>
      </c>
      <c r="M299" s="128">
        <f t="shared" si="63"/>
        <v>0.01792623997926425</v>
      </c>
      <c r="N299" s="127">
        <v>336.265</v>
      </c>
      <c r="O299" s="137">
        <f t="shared" si="64"/>
        <v>6.027967086627292</v>
      </c>
      <c r="P299" s="137">
        <f t="shared" si="65"/>
        <v>1075.574398755855</v>
      </c>
      <c r="Q299" s="155">
        <f t="shared" si="66"/>
        <v>361.6780251976376</v>
      </c>
      <c r="S299" s="80"/>
      <c r="T299" s="80"/>
    </row>
    <row r="300" spans="1:20" ht="12.75" customHeight="1">
      <c r="A300" s="883"/>
      <c r="B300" s="35">
        <v>4</v>
      </c>
      <c r="C300" s="174" t="s">
        <v>341</v>
      </c>
      <c r="D300" s="140">
        <v>24</v>
      </c>
      <c r="E300" s="140">
        <v>1960</v>
      </c>
      <c r="F300" s="248">
        <v>35.838</v>
      </c>
      <c r="G300" s="248">
        <v>11.883</v>
      </c>
      <c r="H300" s="248">
        <v>3.84</v>
      </c>
      <c r="I300" s="248">
        <v>20.115</v>
      </c>
      <c r="J300" s="110">
        <v>1110.04</v>
      </c>
      <c r="K300" s="128">
        <v>20.115</v>
      </c>
      <c r="L300" s="110">
        <v>1110.04</v>
      </c>
      <c r="M300" s="128">
        <f t="shared" si="63"/>
        <v>0.018120968613743647</v>
      </c>
      <c r="N300" s="127">
        <v>336.265</v>
      </c>
      <c r="O300" s="127">
        <f t="shared" si="64"/>
        <v>6.093447510900507</v>
      </c>
      <c r="P300" s="137">
        <f t="shared" si="65"/>
        <v>1087.258116824619</v>
      </c>
      <c r="Q300" s="155">
        <f t="shared" si="66"/>
        <v>365.6068506540305</v>
      </c>
      <c r="S300" s="80"/>
      <c r="T300" s="80"/>
    </row>
    <row r="301" spans="1:20" ht="12.75" customHeight="1">
      <c r="A301" s="883"/>
      <c r="B301" s="35">
        <v>5</v>
      </c>
      <c r="C301" s="174" t="s">
        <v>342</v>
      </c>
      <c r="D301" s="140">
        <v>19</v>
      </c>
      <c r="E301" s="140">
        <v>1984</v>
      </c>
      <c r="F301" s="248">
        <v>23.149</v>
      </c>
      <c r="G301" s="248">
        <v>1.173</v>
      </c>
      <c r="H301" s="248">
        <v>3.04</v>
      </c>
      <c r="I301" s="248">
        <v>18.936</v>
      </c>
      <c r="J301" s="110">
        <v>1053.81</v>
      </c>
      <c r="K301" s="128">
        <v>18.75</v>
      </c>
      <c r="L301" s="110">
        <v>994.89</v>
      </c>
      <c r="M301" s="128">
        <f t="shared" si="63"/>
        <v>0.01884630461659078</v>
      </c>
      <c r="N301" s="127">
        <v>336.265</v>
      </c>
      <c r="O301" s="127">
        <f t="shared" si="64"/>
        <v>6.337352621897899</v>
      </c>
      <c r="P301" s="137">
        <f t="shared" si="65"/>
        <v>1130.778276995447</v>
      </c>
      <c r="Q301" s="155">
        <f t="shared" si="66"/>
        <v>380.24115731387394</v>
      </c>
      <c r="S301" s="80"/>
      <c r="T301" s="80"/>
    </row>
    <row r="302" spans="1:20" ht="12.75" customHeight="1">
      <c r="A302" s="883"/>
      <c r="B302" s="35">
        <v>6</v>
      </c>
      <c r="C302" s="174" t="s">
        <v>343</v>
      </c>
      <c r="D302" s="140">
        <v>40</v>
      </c>
      <c r="E302" s="140">
        <v>1981</v>
      </c>
      <c r="F302" s="248">
        <v>54.422</v>
      </c>
      <c r="G302" s="248">
        <v>3.162</v>
      </c>
      <c r="H302" s="248">
        <v>6.4</v>
      </c>
      <c r="I302" s="248">
        <v>43.464</v>
      </c>
      <c r="J302" s="110">
        <v>2251.3</v>
      </c>
      <c r="K302" s="128">
        <v>44.86</v>
      </c>
      <c r="L302" s="110">
        <v>2251.3</v>
      </c>
      <c r="M302" s="128">
        <f t="shared" si="63"/>
        <v>0.01992626482476791</v>
      </c>
      <c r="N302" s="127">
        <v>336.265</v>
      </c>
      <c r="O302" s="127">
        <f t="shared" si="64"/>
        <v>6.700505441300581</v>
      </c>
      <c r="P302" s="137">
        <f t="shared" si="65"/>
        <v>1195.5758894860746</v>
      </c>
      <c r="Q302" s="155">
        <f t="shared" si="66"/>
        <v>402.03032647803485</v>
      </c>
      <c r="S302" s="80"/>
      <c r="T302" s="80"/>
    </row>
    <row r="303" spans="1:20" ht="12.75" customHeight="1">
      <c r="A303" s="883"/>
      <c r="B303" s="35">
        <v>7</v>
      </c>
      <c r="C303" s="174" t="s">
        <v>344</v>
      </c>
      <c r="D303" s="140">
        <v>40</v>
      </c>
      <c r="E303" s="140">
        <v>1983</v>
      </c>
      <c r="F303" s="248">
        <v>56.16</v>
      </c>
      <c r="G303" s="248">
        <v>3.621</v>
      </c>
      <c r="H303" s="248">
        <v>6.4</v>
      </c>
      <c r="I303" s="248">
        <v>46.139</v>
      </c>
      <c r="J303" s="110">
        <v>2254.6</v>
      </c>
      <c r="K303" s="128">
        <v>46.139</v>
      </c>
      <c r="L303" s="110">
        <v>2254.6</v>
      </c>
      <c r="M303" s="128">
        <f t="shared" si="63"/>
        <v>0.020464383926195335</v>
      </c>
      <c r="N303" s="127">
        <v>336.265</v>
      </c>
      <c r="O303" s="127">
        <f t="shared" si="64"/>
        <v>6.881456060942074</v>
      </c>
      <c r="P303" s="137">
        <f t="shared" si="65"/>
        <v>1227.8630355717203</v>
      </c>
      <c r="Q303" s="155">
        <f t="shared" si="66"/>
        <v>412.8873636565245</v>
      </c>
      <c r="S303" s="80"/>
      <c r="T303" s="80"/>
    </row>
    <row r="304" spans="1:20" ht="12.75" customHeight="1">
      <c r="A304" s="883"/>
      <c r="B304" s="35">
        <v>8</v>
      </c>
      <c r="C304" s="174" t="s">
        <v>345</v>
      </c>
      <c r="D304" s="140">
        <v>50</v>
      </c>
      <c r="E304" s="140">
        <v>1980</v>
      </c>
      <c r="F304" s="248">
        <v>75.653</v>
      </c>
      <c r="G304" s="248">
        <v>4.641</v>
      </c>
      <c r="H304" s="248">
        <v>8</v>
      </c>
      <c r="I304" s="248">
        <v>63.012</v>
      </c>
      <c r="J304" s="110">
        <v>3015.29</v>
      </c>
      <c r="K304" s="128">
        <v>63.012</v>
      </c>
      <c r="L304" s="110">
        <v>3015.29</v>
      </c>
      <c r="M304" s="128">
        <f t="shared" si="63"/>
        <v>0.020897492446829327</v>
      </c>
      <c r="N304" s="127">
        <v>336.265</v>
      </c>
      <c r="O304" s="127">
        <f t="shared" si="64"/>
        <v>7.027095297633063</v>
      </c>
      <c r="P304" s="137">
        <f t="shared" si="65"/>
        <v>1253.8495468097597</v>
      </c>
      <c r="Q304" s="155">
        <f t="shared" si="66"/>
        <v>421.62571785798383</v>
      </c>
      <c r="S304" s="80"/>
      <c r="T304" s="80"/>
    </row>
    <row r="305" spans="1:20" ht="13.5" customHeight="1">
      <c r="A305" s="883"/>
      <c r="B305" s="35">
        <v>9</v>
      </c>
      <c r="C305" s="174" t="s">
        <v>346</v>
      </c>
      <c r="D305" s="140">
        <v>40</v>
      </c>
      <c r="E305" s="140">
        <v>1979</v>
      </c>
      <c r="F305" s="248">
        <v>56.634</v>
      </c>
      <c r="G305" s="248">
        <v>3.825</v>
      </c>
      <c r="H305" s="248">
        <v>6.24</v>
      </c>
      <c r="I305" s="248">
        <v>46.569</v>
      </c>
      <c r="J305" s="110">
        <v>2257.74</v>
      </c>
      <c r="K305" s="128">
        <v>46.31</v>
      </c>
      <c r="L305" s="110">
        <v>2180.68</v>
      </c>
      <c r="M305" s="128">
        <f t="shared" si="63"/>
        <v>0.021236495038244953</v>
      </c>
      <c r="N305" s="127">
        <v>336.265</v>
      </c>
      <c r="O305" s="127">
        <f t="shared" si="64"/>
        <v>7.141090004035439</v>
      </c>
      <c r="P305" s="137">
        <f t="shared" si="65"/>
        <v>1274.1897022946973</v>
      </c>
      <c r="Q305" s="155">
        <f t="shared" si="66"/>
        <v>428.46540024212635</v>
      </c>
      <c r="S305" s="80"/>
      <c r="T305" s="80"/>
    </row>
    <row r="306" spans="1:20" ht="13.5" customHeight="1" thickBot="1">
      <c r="A306" s="884"/>
      <c r="B306" s="83">
        <v>10</v>
      </c>
      <c r="C306" s="182" t="s">
        <v>347</v>
      </c>
      <c r="D306" s="141">
        <v>40</v>
      </c>
      <c r="E306" s="141">
        <v>1984</v>
      </c>
      <c r="F306" s="250">
        <v>58.857</v>
      </c>
      <c r="G306" s="250">
        <v>3.162</v>
      </c>
      <c r="H306" s="250">
        <v>6.4</v>
      </c>
      <c r="I306" s="250">
        <v>49.295</v>
      </c>
      <c r="J306" s="171">
        <v>2269.42</v>
      </c>
      <c r="K306" s="205">
        <v>47.6</v>
      </c>
      <c r="L306" s="171">
        <v>2191.39</v>
      </c>
      <c r="M306" s="205">
        <f t="shared" si="63"/>
        <v>0.021721373192357365</v>
      </c>
      <c r="N306" s="407">
        <v>336.265</v>
      </c>
      <c r="O306" s="158">
        <f t="shared" si="64"/>
        <v>7.304137556528049</v>
      </c>
      <c r="P306" s="158">
        <f t="shared" si="65"/>
        <v>1303.282391541442</v>
      </c>
      <c r="Q306" s="159">
        <f t="shared" si="66"/>
        <v>438.2482533916829</v>
      </c>
      <c r="S306" s="80"/>
      <c r="T306" s="80"/>
    </row>
    <row r="307" spans="1:20" ht="12.75">
      <c r="A307" s="1003" t="s">
        <v>30</v>
      </c>
      <c r="B307" s="218">
        <v>1</v>
      </c>
      <c r="C307" s="229" t="s">
        <v>348</v>
      </c>
      <c r="D307" s="223">
        <v>20</v>
      </c>
      <c r="E307" s="223">
        <v>1969</v>
      </c>
      <c r="F307" s="389">
        <v>33.439</v>
      </c>
      <c r="G307" s="389">
        <v>1.173</v>
      </c>
      <c r="H307" s="389">
        <v>3.2</v>
      </c>
      <c r="I307" s="389">
        <v>29.066</v>
      </c>
      <c r="J307" s="399">
        <v>1259.31</v>
      </c>
      <c r="K307" s="409">
        <v>29.066</v>
      </c>
      <c r="L307" s="331">
        <v>1259.31</v>
      </c>
      <c r="M307" s="268">
        <f t="shared" si="63"/>
        <v>0.023080893505173467</v>
      </c>
      <c r="N307" s="390">
        <v>336.265</v>
      </c>
      <c r="O307" s="267">
        <f t="shared" si="64"/>
        <v>7.761296654517156</v>
      </c>
      <c r="P307" s="267">
        <f t="shared" si="65"/>
        <v>1384.8536103104082</v>
      </c>
      <c r="Q307" s="269">
        <f t="shared" si="66"/>
        <v>465.67779927102936</v>
      </c>
      <c r="S307" s="80"/>
      <c r="T307" s="80"/>
    </row>
    <row r="308" spans="1:20" ht="12.75">
      <c r="A308" s="939"/>
      <c r="B308" s="219">
        <v>2</v>
      </c>
      <c r="C308" s="230" t="s">
        <v>349</v>
      </c>
      <c r="D308" s="220">
        <v>23</v>
      </c>
      <c r="E308" s="220">
        <v>1963</v>
      </c>
      <c r="F308" s="270">
        <v>28.44</v>
      </c>
      <c r="G308" s="270">
        <v>1.479</v>
      </c>
      <c r="H308" s="270">
        <v>0.24</v>
      </c>
      <c r="I308" s="270">
        <v>26.721</v>
      </c>
      <c r="J308" s="261">
        <v>1070.85</v>
      </c>
      <c r="K308" s="272">
        <v>25.68</v>
      </c>
      <c r="L308" s="261">
        <v>1029.11</v>
      </c>
      <c r="M308" s="272">
        <f t="shared" si="63"/>
        <v>0.024953600684086252</v>
      </c>
      <c r="N308" s="267">
        <v>336.265</v>
      </c>
      <c r="O308" s="271">
        <f t="shared" si="64"/>
        <v>8.391022534034263</v>
      </c>
      <c r="P308" s="267">
        <f t="shared" si="65"/>
        <v>1497.2160410451752</v>
      </c>
      <c r="Q308" s="273">
        <f t="shared" si="66"/>
        <v>503.4613520420558</v>
      </c>
      <c r="S308" s="80"/>
      <c r="T308" s="80"/>
    </row>
    <row r="309" spans="1:20" ht="12.75">
      <c r="A309" s="939"/>
      <c r="B309" s="219">
        <v>3</v>
      </c>
      <c r="C309" s="230" t="s">
        <v>350</v>
      </c>
      <c r="D309" s="220">
        <v>21</v>
      </c>
      <c r="E309" s="220">
        <v>1986</v>
      </c>
      <c r="F309" s="270">
        <v>35.933</v>
      </c>
      <c r="G309" s="270">
        <v>1.938</v>
      </c>
      <c r="H309" s="270">
        <v>3.52</v>
      </c>
      <c r="I309" s="270">
        <v>30.475</v>
      </c>
      <c r="J309" s="261">
        <v>1161.95</v>
      </c>
      <c r="K309" s="272">
        <v>28.78</v>
      </c>
      <c r="L309" s="261">
        <v>1097.49</v>
      </c>
      <c r="M309" s="272">
        <f t="shared" si="63"/>
        <v>0.02622347356240148</v>
      </c>
      <c r="N309" s="267">
        <v>336.265</v>
      </c>
      <c r="O309" s="271">
        <f t="shared" si="64"/>
        <v>8.818036337460933</v>
      </c>
      <c r="P309" s="267">
        <f t="shared" si="65"/>
        <v>1573.4084137440889</v>
      </c>
      <c r="Q309" s="273">
        <f t="shared" si="66"/>
        <v>529.0821802476561</v>
      </c>
      <c r="S309" s="80"/>
      <c r="T309" s="80"/>
    </row>
    <row r="310" spans="1:20" ht="12.75">
      <c r="A310" s="939"/>
      <c r="B310" s="219">
        <v>4</v>
      </c>
      <c r="C310" s="230" t="s">
        <v>351</v>
      </c>
      <c r="D310" s="220">
        <v>3</v>
      </c>
      <c r="E310" s="220">
        <v>1900</v>
      </c>
      <c r="F310" s="270">
        <v>15.528</v>
      </c>
      <c r="G310" s="270">
        <v>0.51</v>
      </c>
      <c r="H310" s="270">
        <v>1.92</v>
      </c>
      <c r="I310" s="270">
        <v>13.098</v>
      </c>
      <c r="J310" s="261">
        <v>558.26</v>
      </c>
      <c r="K310" s="272">
        <v>12.79</v>
      </c>
      <c r="L310" s="261">
        <v>485.29</v>
      </c>
      <c r="M310" s="272">
        <f t="shared" si="63"/>
        <v>0.026355375136516306</v>
      </c>
      <c r="N310" s="267">
        <v>336.265</v>
      </c>
      <c r="O310" s="271">
        <f t="shared" si="64"/>
        <v>8.862390220280655</v>
      </c>
      <c r="P310" s="267">
        <f t="shared" si="65"/>
        <v>1581.3225081909784</v>
      </c>
      <c r="Q310" s="273">
        <f t="shared" si="66"/>
        <v>531.7434132168393</v>
      </c>
      <c r="S310" s="80"/>
      <c r="T310" s="80"/>
    </row>
    <row r="311" spans="1:20" ht="12.75">
      <c r="A311" s="939"/>
      <c r="B311" s="219">
        <v>5</v>
      </c>
      <c r="C311" s="230" t="s">
        <v>352</v>
      </c>
      <c r="D311" s="220">
        <v>45</v>
      </c>
      <c r="E311" s="220">
        <v>1968</v>
      </c>
      <c r="F311" s="270">
        <v>60.412</v>
      </c>
      <c r="G311" s="270">
        <v>2.244</v>
      </c>
      <c r="H311" s="270">
        <v>7.2</v>
      </c>
      <c r="I311" s="270">
        <v>50.968</v>
      </c>
      <c r="J311" s="261">
        <v>1855.91</v>
      </c>
      <c r="K311" s="272">
        <v>50.968</v>
      </c>
      <c r="L311" s="261">
        <v>1855.91</v>
      </c>
      <c r="M311" s="272">
        <f t="shared" si="63"/>
        <v>0.02746253859292746</v>
      </c>
      <c r="N311" s="267">
        <v>336.265</v>
      </c>
      <c r="O311" s="271">
        <f t="shared" si="64"/>
        <v>9.234690539950751</v>
      </c>
      <c r="P311" s="267">
        <f t="shared" si="65"/>
        <v>1647.7523155756476</v>
      </c>
      <c r="Q311" s="273">
        <f t="shared" si="66"/>
        <v>554.0814323970451</v>
      </c>
      <c r="S311" s="80"/>
      <c r="T311" s="80"/>
    </row>
    <row r="312" spans="1:20" ht="12.75">
      <c r="A312" s="939"/>
      <c r="B312" s="219">
        <v>6</v>
      </c>
      <c r="C312" s="230" t="s">
        <v>353</v>
      </c>
      <c r="D312" s="220">
        <v>12</v>
      </c>
      <c r="E312" s="220">
        <v>1980</v>
      </c>
      <c r="F312" s="270">
        <v>17.098</v>
      </c>
      <c r="G312" s="270">
        <v>0.612</v>
      </c>
      <c r="H312" s="270">
        <v>1.76</v>
      </c>
      <c r="I312" s="270">
        <v>14.726</v>
      </c>
      <c r="J312" s="261">
        <v>584.73</v>
      </c>
      <c r="K312" s="272">
        <v>14.726</v>
      </c>
      <c r="L312" s="261">
        <v>523.49</v>
      </c>
      <c r="M312" s="272">
        <f t="shared" si="63"/>
        <v>0.02813043229097022</v>
      </c>
      <c r="N312" s="267">
        <v>336.265</v>
      </c>
      <c r="O312" s="271">
        <f t="shared" si="64"/>
        <v>9.4592798143231</v>
      </c>
      <c r="P312" s="267">
        <f t="shared" si="65"/>
        <v>1687.8259374582133</v>
      </c>
      <c r="Q312" s="273">
        <f t="shared" si="66"/>
        <v>567.5567888593861</v>
      </c>
      <c r="S312" s="80"/>
      <c r="T312" s="80"/>
    </row>
    <row r="313" spans="1:20" ht="12.75">
      <c r="A313" s="939"/>
      <c r="B313" s="219">
        <v>7</v>
      </c>
      <c r="C313" s="230" t="s">
        <v>354</v>
      </c>
      <c r="D313" s="220">
        <v>8</v>
      </c>
      <c r="E313" s="220">
        <v>1989</v>
      </c>
      <c r="F313" s="270">
        <v>19.75</v>
      </c>
      <c r="G313" s="270">
        <v>0.051</v>
      </c>
      <c r="H313" s="270">
        <v>0.08</v>
      </c>
      <c r="I313" s="270">
        <v>19.619</v>
      </c>
      <c r="J313" s="261">
        <v>729.13</v>
      </c>
      <c r="K313" s="272">
        <v>6.99</v>
      </c>
      <c r="L313" s="261">
        <v>236.04</v>
      </c>
      <c r="M313" s="272">
        <f t="shared" si="63"/>
        <v>0.02961362480935435</v>
      </c>
      <c r="N313" s="267">
        <v>336.265</v>
      </c>
      <c r="O313" s="271">
        <f t="shared" si="64"/>
        <v>9.95802554651754</v>
      </c>
      <c r="P313" s="267">
        <f t="shared" si="65"/>
        <v>1776.817488561261</v>
      </c>
      <c r="Q313" s="273">
        <f t="shared" si="66"/>
        <v>597.4815327910524</v>
      </c>
      <c r="S313" s="80"/>
      <c r="T313" s="80"/>
    </row>
    <row r="314" spans="1:20" ht="12.75">
      <c r="A314" s="939"/>
      <c r="B314" s="219">
        <v>8</v>
      </c>
      <c r="C314" s="230" t="s">
        <v>355</v>
      </c>
      <c r="D314" s="220">
        <v>12</v>
      </c>
      <c r="E314" s="220">
        <v>1980</v>
      </c>
      <c r="F314" s="270">
        <v>16.716</v>
      </c>
      <c r="G314" s="270">
        <v>0.357</v>
      </c>
      <c r="H314" s="270">
        <v>1.6</v>
      </c>
      <c r="I314" s="270">
        <v>14.759</v>
      </c>
      <c r="J314" s="261">
        <v>587.63</v>
      </c>
      <c r="K314" s="272">
        <v>14.31</v>
      </c>
      <c r="L314" s="261">
        <v>468.68</v>
      </c>
      <c r="M314" s="272">
        <f t="shared" si="63"/>
        <v>0.030532559528889648</v>
      </c>
      <c r="N314" s="267">
        <v>336.265</v>
      </c>
      <c r="O314" s="271">
        <f t="shared" si="64"/>
        <v>10.267031129982078</v>
      </c>
      <c r="P314" s="267">
        <f t="shared" si="65"/>
        <v>1831.9535717333788</v>
      </c>
      <c r="Q314" s="273">
        <f t="shared" si="66"/>
        <v>616.0218677989245</v>
      </c>
      <c r="S314" s="80"/>
      <c r="T314" s="80"/>
    </row>
    <row r="315" spans="1:20" ht="12.75">
      <c r="A315" s="940"/>
      <c r="B315" s="231">
        <v>9</v>
      </c>
      <c r="C315" s="230" t="s">
        <v>356</v>
      </c>
      <c r="D315" s="220">
        <v>9</v>
      </c>
      <c r="E315" s="220">
        <v>1925</v>
      </c>
      <c r="F315" s="270">
        <v>13.3</v>
      </c>
      <c r="G315" s="270">
        <v>0.408</v>
      </c>
      <c r="H315" s="270">
        <v>1.6</v>
      </c>
      <c r="I315" s="270">
        <v>11.292</v>
      </c>
      <c r="J315" s="261">
        <v>392.63</v>
      </c>
      <c r="K315" s="272">
        <v>10.88</v>
      </c>
      <c r="L315" s="261">
        <v>326.76</v>
      </c>
      <c r="M315" s="272">
        <f t="shared" si="63"/>
        <v>0.033296609132084716</v>
      </c>
      <c r="N315" s="267">
        <v>336.265</v>
      </c>
      <c r="O315" s="271">
        <f t="shared" si="64"/>
        <v>11.196484269800466</v>
      </c>
      <c r="P315" s="267">
        <f t="shared" si="65"/>
        <v>1997.796547925083</v>
      </c>
      <c r="Q315" s="273">
        <f t="shared" si="66"/>
        <v>671.789056188028</v>
      </c>
      <c r="S315" s="80"/>
      <c r="T315" s="80"/>
    </row>
    <row r="316" spans="1:20" ht="13.5" thickBot="1">
      <c r="A316" s="941"/>
      <c r="B316" s="232">
        <v>10</v>
      </c>
      <c r="C316" s="590" t="s">
        <v>357</v>
      </c>
      <c r="D316" s="224">
        <v>4</v>
      </c>
      <c r="E316" s="224">
        <v>1930</v>
      </c>
      <c r="F316" s="274">
        <v>11.293</v>
      </c>
      <c r="G316" s="274">
        <v>0.459</v>
      </c>
      <c r="H316" s="274">
        <v>0.07</v>
      </c>
      <c r="I316" s="274">
        <v>10.764</v>
      </c>
      <c r="J316" s="263">
        <v>319.18</v>
      </c>
      <c r="K316" s="276">
        <v>5.39</v>
      </c>
      <c r="L316" s="263">
        <v>159.84</v>
      </c>
      <c r="M316" s="276">
        <f t="shared" si="63"/>
        <v>0.03372122122122122</v>
      </c>
      <c r="N316" s="267">
        <v>336.265</v>
      </c>
      <c r="O316" s="275">
        <f t="shared" si="64"/>
        <v>11.339266453953952</v>
      </c>
      <c r="P316" s="275">
        <f t="shared" si="65"/>
        <v>2023.273273273273</v>
      </c>
      <c r="Q316" s="277">
        <f t="shared" si="66"/>
        <v>680.3559872372371</v>
      </c>
      <c r="S316" s="80"/>
      <c r="T316" s="80"/>
    </row>
    <row r="317" spans="1:20" ht="12.75">
      <c r="A317" s="901" t="s">
        <v>12</v>
      </c>
      <c r="B317" s="38">
        <v>1</v>
      </c>
      <c r="C317" s="594" t="s">
        <v>358</v>
      </c>
      <c r="D317" s="226">
        <v>19</v>
      </c>
      <c r="E317" s="226">
        <v>1961</v>
      </c>
      <c r="F317" s="394">
        <v>31.849</v>
      </c>
      <c r="G317" s="394">
        <v>1.122</v>
      </c>
      <c r="H317" s="394">
        <v>0.21</v>
      </c>
      <c r="I317" s="394">
        <v>30.517</v>
      </c>
      <c r="J317" s="334">
        <v>886.26</v>
      </c>
      <c r="K317" s="414">
        <v>23.04</v>
      </c>
      <c r="L317" s="332">
        <v>669.1</v>
      </c>
      <c r="M317" s="283">
        <f t="shared" si="63"/>
        <v>0.03443431475115827</v>
      </c>
      <c r="N317" s="284">
        <v>336.265</v>
      </c>
      <c r="O317" s="284">
        <f t="shared" si="64"/>
        <v>11.579054849798235</v>
      </c>
      <c r="P317" s="284">
        <f t="shared" si="65"/>
        <v>2066.058885069496</v>
      </c>
      <c r="Q317" s="285">
        <f t="shared" si="66"/>
        <v>694.7432909878939</v>
      </c>
      <c r="S317" s="80"/>
      <c r="T317" s="80"/>
    </row>
    <row r="318" spans="1:20" ht="12.75">
      <c r="A318" s="902"/>
      <c r="B318" s="40">
        <v>2</v>
      </c>
      <c r="C318" s="175" t="s">
        <v>359</v>
      </c>
      <c r="D318" s="176">
        <v>6</v>
      </c>
      <c r="E318" s="176">
        <v>1930</v>
      </c>
      <c r="F318" s="295">
        <v>10.433</v>
      </c>
      <c r="G318" s="295">
        <v>0.153</v>
      </c>
      <c r="H318" s="295">
        <v>0.8</v>
      </c>
      <c r="I318" s="295">
        <v>9.48</v>
      </c>
      <c r="J318" s="297">
        <v>323.39</v>
      </c>
      <c r="K318" s="289">
        <v>9.23</v>
      </c>
      <c r="L318" s="297">
        <v>266.7</v>
      </c>
      <c r="M318" s="289">
        <f t="shared" si="63"/>
        <v>0.03460817397825272</v>
      </c>
      <c r="N318" s="284">
        <v>336.265</v>
      </c>
      <c r="O318" s="290">
        <f t="shared" si="64"/>
        <v>11.637517622797152</v>
      </c>
      <c r="P318" s="284">
        <f t="shared" si="65"/>
        <v>2076.4904386951634</v>
      </c>
      <c r="Q318" s="291">
        <f t="shared" si="66"/>
        <v>698.2510573678292</v>
      </c>
      <c r="S318" s="80"/>
      <c r="T318" s="80"/>
    </row>
    <row r="319" spans="1:20" ht="12.75">
      <c r="A319" s="902"/>
      <c r="B319" s="40">
        <v>3</v>
      </c>
      <c r="C319" s="175" t="s">
        <v>360</v>
      </c>
      <c r="D319" s="176">
        <v>15</v>
      </c>
      <c r="E319" s="176">
        <v>1969</v>
      </c>
      <c r="F319" s="295">
        <v>22.513</v>
      </c>
      <c r="G319" s="295">
        <v>0.867</v>
      </c>
      <c r="H319" s="295">
        <v>0.15</v>
      </c>
      <c r="I319" s="295">
        <v>21.496</v>
      </c>
      <c r="J319" s="297">
        <v>617.45</v>
      </c>
      <c r="K319" s="289">
        <v>19.58</v>
      </c>
      <c r="L319" s="297">
        <v>562.44</v>
      </c>
      <c r="M319" s="289">
        <f t="shared" si="63"/>
        <v>0.034812602233127085</v>
      </c>
      <c r="N319" s="284">
        <v>336.265</v>
      </c>
      <c r="O319" s="290">
        <f t="shared" si="64"/>
        <v>11.70625968992248</v>
      </c>
      <c r="P319" s="284">
        <f t="shared" si="65"/>
        <v>2088.756133987625</v>
      </c>
      <c r="Q319" s="291">
        <f t="shared" si="66"/>
        <v>702.3755813953487</v>
      </c>
      <c r="S319" s="80"/>
      <c r="T319" s="80"/>
    </row>
    <row r="320" spans="1:20" ht="12.75">
      <c r="A320" s="902"/>
      <c r="B320" s="40">
        <v>4</v>
      </c>
      <c r="C320" s="175" t="s">
        <v>361</v>
      </c>
      <c r="D320" s="176">
        <v>4</v>
      </c>
      <c r="E320" s="176">
        <v>1947</v>
      </c>
      <c r="F320" s="295">
        <v>10.521</v>
      </c>
      <c r="G320" s="295">
        <v>0.51</v>
      </c>
      <c r="H320" s="295">
        <v>0.72</v>
      </c>
      <c r="I320" s="295">
        <v>9.291</v>
      </c>
      <c r="J320" s="297">
        <v>256.84</v>
      </c>
      <c r="K320" s="289">
        <v>8.1</v>
      </c>
      <c r="L320" s="297">
        <v>224.01</v>
      </c>
      <c r="M320" s="289">
        <f t="shared" si="63"/>
        <v>0.03615910004017678</v>
      </c>
      <c r="N320" s="284">
        <v>336.265</v>
      </c>
      <c r="O320" s="290">
        <f t="shared" si="64"/>
        <v>12.159039775010044</v>
      </c>
      <c r="P320" s="284">
        <f t="shared" si="65"/>
        <v>2169.546002410607</v>
      </c>
      <c r="Q320" s="291">
        <f t="shared" si="66"/>
        <v>729.5423865006027</v>
      </c>
      <c r="S320" s="80"/>
      <c r="T320" s="80"/>
    </row>
    <row r="321" spans="1:20" ht="12.75">
      <c r="A321" s="902"/>
      <c r="B321" s="40">
        <v>5</v>
      </c>
      <c r="C321" s="175" t="s">
        <v>362</v>
      </c>
      <c r="D321" s="176">
        <v>12</v>
      </c>
      <c r="E321" s="176">
        <v>1962</v>
      </c>
      <c r="F321" s="295">
        <v>25.402</v>
      </c>
      <c r="G321" s="295">
        <v>0.255</v>
      </c>
      <c r="H321" s="295">
        <v>0.14</v>
      </c>
      <c r="I321" s="295">
        <v>25.007</v>
      </c>
      <c r="J321" s="297">
        <v>864.16</v>
      </c>
      <c r="K321" s="289">
        <v>20.72</v>
      </c>
      <c r="L321" s="297">
        <v>544.13</v>
      </c>
      <c r="M321" s="289">
        <f t="shared" si="63"/>
        <v>0.03807913550070755</v>
      </c>
      <c r="N321" s="284">
        <v>336.265</v>
      </c>
      <c r="O321" s="290">
        <f t="shared" si="64"/>
        <v>12.804680499145425</v>
      </c>
      <c r="P321" s="284">
        <f t="shared" si="65"/>
        <v>2284.7481300424533</v>
      </c>
      <c r="Q321" s="291">
        <f t="shared" si="66"/>
        <v>768.2808299487256</v>
      </c>
      <c r="S321" s="80"/>
      <c r="T321" s="80"/>
    </row>
    <row r="322" spans="1:20" ht="12.75">
      <c r="A322" s="902"/>
      <c r="B322" s="40">
        <v>6</v>
      </c>
      <c r="C322" s="175" t="s">
        <v>363</v>
      </c>
      <c r="D322" s="176">
        <v>6</v>
      </c>
      <c r="E322" s="176">
        <v>1910</v>
      </c>
      <c r="F322" s="295">
        <v>12.848</v>
      </c>
      <c r="G322" s="295">
        <v>0.255</v>
      </c>
      <c r="H322" s="295">
        <v>0.96</v>
      </c>
      <c r="I322" s="295">
        <v>11.633</v>
      </c>
      <c r="J322" s="297">
        <v>303.9</v>
      </c>
      <c r="K322" s="289">
        <v>11.633</v>
      </c>
      <c r="L322" s="297">
        <v>303.9</v>
      </c>
      <c r="M322" s="289">
        <f t="shared" si="63"/>
        <v>0.038279039157617635</v>
      </c>
      <c r="N322" s="284">
        <v>336.265</v>
      </c>
      <c r="O322" s="290">
        <f t="shared" si="64"/>
        <v>12.871901102336293</v>
      </c>
      <c r="P322" s="284">
        <f t="shared" si="65"/>
        <v>2296.742349457058</v>
      </c>
      <c r="Q322" s="291">
        <f t="shared" si="66"/>
        <v>772.3140661401775</v>
      </c>
      <c r="S322" s="80"/>
      <c r="T322" s="80"/>
    </row>
    <row r="323" spans="1:20" ht="12.75">
      <c r="A323" s="902"/>
      <c r="B323" s="40">
        <v>7</v>
      </c>
      <c r="C323" s="175" t="s">
        <v>364</v>
      </c>
      <c r="D323" s="176">
        <v>11</v>
      </c>
      <c r="E323" s="176">
        <v>1961</v>
      </c>
      <c r="F323" s="295">
        <v>22.02</v>
      </c>
      <c r="G323" s="295">
        <v>0.663</v>
      </c>
      <c r="H323" s="295">
        <v>0.11</v>
      </c>
      <c r="I323" s="295">
        <v>21.247</v>
      </c>
      <c r="J323" s="297">
        <v>524.32</v>
      </c>
      <c r="K323" s="289">
        <v>19.24</v>
      </c>
      <c r="L323" s="297">
        <v>474.9</v>
      </c>
      <c r="M323" s="289">
        <f t="shared" si="63"/>
        <v>0.040513792377342595</v>
      </c>
      <c r="N323" s="284">
        <v>336.265</v>
      </c>
      <c r="O323" s="290">
        <f t="shared" si="64"/>
        <v>13.623370393767107</v>
      </c>
      <c r="P323" s="284">
        <f t="shared" si="65"/>
        <v>2430.8275426405553</v>
      </c>
      <c r="Q323" s="291">
        <f t="shared" si="66"/>
        <v>817.4022236260263</v>
      </c>
      <c r="S323" s="80"/>
      <c r="T323" s="80"/>
    </row>
    <row r="324" spans="1:20" ht="12.75">
      <c r="A324" s="902"/>
      <c r="B324" s="40">
        <v>8</v>
      </c>
      <c r="C324" s="175" t="s">
        <v>365</v>
      </c>
      <c r="D324" s="176">
        <v>4</v>
      </c>
      <c r="E324" s="176">
        <v>1914</v>
      </c>
      <c r="F324" s="295">
        <v>9.211</v>
      </c>
      <c r="G324" s="295">
        <v>0.255</v>
      </c>
      <c r="H324" s="295">
        <v>0.64</v>
      </c>
      <c r="I324" s="295">
        <v>8.316</v>
      </c>
      <c r="J324" s="297">
        <v>203.32</v>
      </c>
      <c r="K324" s="289">
        <v>6.18</v>
      </c>
      <c r="L324" s="297">
        <v>151.17</v>
      </c>
      <c r="M324" s="289">
        <f t="shared" si="63"/>
        <v>0.040881127207779325</v>
      </c>
      <c r="N324" s="284">
        <v>336.265</v>
      </c>
      <c r="O324" s="290">
        <f t="shared" si="64"/>
        <v>13.746892240523914</v>
      </c>
      <c r="P324" s="284">
        <f t="shared" si="65"/>
        <v>2452.8676324667595</v>
      </c>
      <c r="Q324" s="291">
        <f t="shared" si="66"/>
        <v>824.8135344314348</v>
      </c>
      <c r="S324" s="80"/>
      <c r="T324" s="80"/>
    </row>
    <row r="325" spans="1:20" ht="12.75">
      <c r="A325" s="902"/>
      <c r="B325" s="40">
        <v>9</v>
      </c>
      <c r="C325" s="175" t="s">
        <v>366</v>
      </c>
      <c r="D325" s="176">
        <v>12</v>
      </c>
      <c r="E325" s="176">
        <v>1968</v>
      </c>
      <c r="F325" s="295">
        <v>18.872</v>
      </c>
      <c r="G325" s="295">
        <v>0.816</v>
      </c>
      <c r="H325" s="295">
        <v>0.08</v>
      </c>
      <c r="I325" s="295">
        <v>17.976</v>
      </c>
      <c r="J325" s="297">
        <v>474.14</v>
      </c>
      <c r="K325" s="289">
        <v>16.82</v>
      </c>
      <c r="L325" s="297">
        <v>409.77</v>
      </c>
      <c r="M325" s="289">
        <f t="shared" si="63"/>
        <v>0.04104741684359519</v>
      </c>
      <c r="N325" s="284">
        <v>336.265</v>
      </c>
      <c r="O325" s="290">
        <f t="shared" si="64"/>
        <v>13.802809624911536</v>
      </c>
      <c r="P325" s="284">
        <f t="shared" si="65"/>
        <v>2462.8450106157115</v>
      </c>
      <c r="Q325" s="291">
        <f t="shared" si="66"/>
        <v>828.1685774946922</v>
      </c>
      <c r="S325" s="80"/>
      <c r="T325" s="80"/>
    </row>
    <row r="326" spans="1:20" ht="13.5" thickBot="1">
      <c r="A326" s="903"/>
      <c r="B326" s="42">
        <v>10</v>
      </c>
      <c r="C326" s="535" t="s">
        <v>367</v>
      </c>
      <c r="D326" s="228">
        <v>18</v>
      </c>
      <c r="E326" s="228">
        <v>1961</v>
      </c>
      <c r="F326" s="296">
        <v>37.811</v>
      </c>
      <c r="G326" s="296">
        <v>0.969</v>
      </c>
      <c r="H326" s="296">
        <v>0.21</v>
      </c>
      <c r="I326" s="296">
        <v>36.632</v>
      </c>
      <c r="J326" s="333">
        <v>887.64</v>
      </c>
      <c r="K326" s="286">
        <v>30</v>
      </c>
      <c r="L326" s="333">
        <v>726.9</v>
      </c>
      <c r="M326" s="286">
        <f t="shared" si="63"/>
        <v>0.04127115146512588</v>
      </c>
      <c r="N326" s="652">
        <v>336.265</v>
      </c>
      <c r="O326" s="287">
        <f t="shared" si="64"/>
        <v>13.878043747420554</v>
      </c>
      <c r="P326" s="287">
        <f t="shared" si="65"/>
        <v>2476.269087907553</v>
      </c>
      <c r="Q326" s="288">
        <f t="shared" si="66"/>
        <v>832.6826248452332</v>
      </c>
      <c r="S326" s="80"/>
      <c r="T326" s="80"/>
    </row>
    <row r="327" spans="14:20" ht="12.75">
      <c r="N327" s="555"/>
      <c r="S327" s="80"/>
      <c r="T327" s="80"/>
    </row>
    <row r="328" spans="19:20" ht="12.75">
      <c r="S328" s="80"/>
      <c r="T328" s="80"/>
    </row>
    <row r="329" spans="19:20" ht="12.75">
      <c r="S329" s="80"/>
      <c r="T329" s="80"/>
    </row>
    <row r="330" spans="19:20" ht="12.75">
      <c r="S330" s="80"/>
      <c r="T330" s="80"/>
    </row>
    <row r="331" spans="19:20" ht="12.75">
      <c r="S331" s="80"/>
      <c r="T331" s="80"/>
    </row>
    <row r="332" spans="19:20" ht="12.75">
      <c r="S332" s="80"/>
      <c r="T332" s="80"/>
    </row>
    <row r="333" spans="1:20" ht="15">
      <c r="A333" s="907" t="s">
        <v>61</v>
      </c>
      <c r="B333" s="907"/>
      <c r="C333" s="907"/>
      <c r="D333" s="907"/>
      <c r="E333" s="907"/>
      <c r="F333" s="907"/>
      <c r="G333" s="907"/>
      <c r="H333" s="907"/>
      <c r="I333" s="907"/>
      <c r="J333" s="907"/>
      <c r="K333" s="907"/>
      <c r="L333" s="907"/>
      <c r="M333" s="907"/>
      <c r="N333" s="907"/>
      <c r="O333" s="907"/>
      <c r="P333" s="907"/>
      <c r="Q333" s="907"/>
      <c r="S333" s="80"/>
      <c r="T333" s="80"/>
    </row>
    <row r="334" spans="1:20" ht="13.5" thickBot="1">
      <c r="A334" s="894" t="s">
        <v>368</v>
      </c>
      <c r="B334" s="894"/>
      <c r="C334" s="894"/>
      <c r="D334" s="894"/>
      <c r="E334" s="894"/>
      <c r="F334" s="894"/>
      <c r="G334" s="894"/>
      <c r="H334" s="894"/>
      <c r="I334" s="894"/>
      <c r="J334" s="894"/>
      <c r="K334" s="894"/>
      <c r="L334" s="894"/>
      <c r="M334" s="894"/>
      <c r="N334" s="894"/>
      <c r="O334" s="894"/>
      <c r="P334" s="894"/>
      <c r="Q334" s="894"/>
      <c r="S334" s="80"/>
      <c r="T334" s="80"/>
    </row>
    <row r="335" spans="1:20" ht="12.75" customHeight="1">
      <c r="A335" s="885" t="s">
        <v>1</v>
      </c>
      <c r="B335" s="908" t="s">
        <v>0</v>
      </c>
      <c r="C335" s="920" t="s">
        <v>2</v>
      </c>
      <c r="D335" s="880" t="s">
        <v>3</v>
      </c>
      <c r="E335" s="880" t="s">
        <v>13</v>
      </c>
      <c r="F335" s="911" t="s">
        <v>14</v>
      </c>
      <c r="G335" s="912"/>
      <c r="H335" s="912"/>
      <c r="I335" s="913"/>
      <c r="J335" s="880" t="s">
        <v>4</v>
      </c>
      <c r="K335" s="880" t="s">
        <v>15</v>
      </c>
      <c r="L335" s="880" t="s">
        <v>5</v>
      </c>
      <c r="M335" s="880" t="s">
        <v>6</v>
      </c>
      <c r="N335" s="880" t="s">
        <v>16</v>
      </c>
      <c r="O335" s="892" t="s">
        <v>17</v>
      </c>
      <c r="P335" s="880" t="s">
        <v>25</v>
      </c>
      <c r="Q335" s="890" t="s">
        <v>26</v>
      </c>
      <c r="S335" s="80"/>
      <c r="T335" s="80"/>
    </row>
    <row r="336" spans="1:20" s="2" customFormat="1" ht="33.75">
      <c r="A336" s="886"/>
      <c r="B336" s="909"/>
      <c r="C336" s="1020"/>
      <c r="D336" s="881"/>
      <c r="E336" s="881"/>
      <c r="F336" s="36" t="s">
        <v>18</v>
      </c>
      <c r="G336" s="36" t="s">
        <v>19</v>
      </c>
      <c r="H336" s="36" t="s">
        <v>20</v>
      </c>
      <c r="I336" s="36" t="s">
        <v>21</v>
      </c>
      <c r="J336" s="881"/>
      <c r="K336" s="881"/>
      <c r="L336" s="881"/>
      <c r="M336" s="881"/>
      <c r="N336" s="881"/>
      <c r="O336" s="893"/>
      <c r="P336" s="881"/>
      <c r="Q336" s="891"/>
      <c r="S336" s="80"/>
      <c r="T336" s="80"/>
    </row>
    <row r="337" spans="1:20" s="3" customFormat="1" ht="13.5" customHeight="1" thickBot="1">
      <c r="A337" s="886"/>
      <c r="B337" s="910"/>
      <c r="C337" s="1021"/>
      <c r="D337" s="52" t="s">
        <v>7</v>
      </c>
      <c r="E337" s="52" t="s">
        <v>8</v>
      </c>
      <c r="F337" s="52" t="s">
        <v>9</v>
      </c>
      <c r="G337" s="52" t="s">
        <v>9</v>
      </c>
      <c r="H337" s="52" t="s">
        <v>9</v>
      </c>
      <c r="I337" s="52" t="s">
        <v>9</v>
      </c>
      <c r="J337" s="52" t="s">
        <v>22</v>
      </c>
      <c r="K337" s="52" t="s">
        <v>9</v>
      </c>
      <c r="L337" s="52" t="s">
        <v>22</v>
      </c>
      <c r="M337" s="52" t="s">
        <v>23</v>
      </c>
      <c r="N337" s="52" t="s">
        <v>10</v>
      </c>
      <c r="O337" s="52" t="s">
        <v>24</v>
      </c>
      <c r="P337" s="53" t="s">
        <v>27</v>
      </c>
      <c r="Q337" s="54" t="s">
        <v>28</v>
      </c>
      <c r="S337" s="80"/>
      <c r="T337" s="80"/>
    </row>
    <row r="338" spans="1:20" ht="12.75">
      <c r="A338" s="915" t="s">
        <v>11</v>
      </c>
      <c r="B338" s="30">
        <v>1</v>
      </c>
      <c r="C338" s="244" t="s">
        <v>369</v>
      </c>
      <c r="D338" s="245">
        <v>46</v>
      </c>
      <c r="E338" s="245">
        <v>1993</v>
      </c>
      <c r="F338" s="438">
        <v>47.162976</v>
      </c>
      <c r="G338" s="438">
        <v>6.357303</v>
      </c>
      <c r="H338" s="438">
        <v>9.84</v>
      </c>
      <c r="I338" s="438">
        <v>30.96569</v>
      </c>
      <c r="J338" s="440">
        <v>2941.14</v>
      </c>
      <c r="K338" s="807">
        <v>27.617114</v>
      </c>
      <c r="L338" s="440">
        <v>2706.72</v>
      </c>
      <c r="M338" s="443">
        <v>0.010203</v>
      </c>
      <c r="N338" s="190">
        <v>275.7</v>
      </c>
      <c r="O338" s="436">
        <f>M338*N338*1.09</f>
        <v>3.066134139</v>
      </c>
      <c r="P338" s="436">
        <f>M338*60*1000</f>
        <v>612.1800000000001</v>
      </c>
      <c r="Q338" s="451">
        <f>P338*N338/1000</f>
        <v>168.778026</v>
      </c>
      <c r="R338" s="6"/>
      <c r="S338" s="80"/>
      <c r="T338" s="80"/>
    </row>
    <row r="339" spans="1:20" ht="12.75">
      <c r="A339" s="916"/>
      <c r="B339" s="31">
        <v>2</v>
      </c>
      <c r="C339" s="241" t="s">
        <v>370</v>
      </c>
      <c r="D339" s="191">
        <v>55</v>
      </c>
      <c r="E339" s="191">
        <v>1990</v>
      </c>
      <c r="F339" s="348">
        <v>62.052001</v>
      </c>
      <c r="G339" s="348">
        <v>8.7567</v>
      </c>
      <c r="H339" s="348">
        <v>12.56</v>
      </c>
      <c r="I339" s="348">
        <v>40.735301</v>
      </c>
      <c r="J339" s="350">
        <v>3527.73</v>
      </c>
      <c r="K339" s="808">
        <v>40.735301</v>
      </c>
      <c r="L339" s="350">
        <v>3527.73</v>
      </c>
      <c r="M339" s="444">
        <v>0.011547</v>
      </c>
      <c r="N339" s="190">
        <v>275.7</v>
      </c>
      <c r="O339" s="437">
        <f aca="true" t="shared" si="67" ref="O339:O377">M339*N339*1.09</f>
        <v>3.4700236110000002</v>
      </c>
      <c r="P339" s="437">
        <f>M339*60*1000</f>
        <v>692.8199999999999</v>
      </c>
      <c r="Q339" s="145">
        <f>P339*N339/1000</f>
        <v>191.010474</v>
      </c>
      <c r="S339" s="80"/>
      <c r="T339" s="80"/>
    </row>
    <row r="340" spans="1:20" ht="12.75">
      <c r="A340" s="916"/>
      <c r="B340" s="31">
        <v>3</v>
      </c>
      <c r="C340" s="241" t="s">
        <v>371</v>
      </c>
      <c r="D340" s="191">
        <v>54</v>
      </c>
      <c r="E340" s="191">
        <v>2008</v>
      </c>
      <c r="F340" s="348">
        <v>50.13</v>
      </c>
      <c r="G340" s="348">
        <v>4.743</v>
      </c>
      <c r="H340" s="348">
        <v>2.515644</v>
      </c>
      <c r="I340" s="348">
        <v>44.13</v>
      </c>
      <c r="J340" s="350">
        <v>3786.21</v>
      </c>
      <c r="K340" s="808">
        <v>12.22</v>
      </c>
      <c r="L340" s="350">
        <v>2030.27</v>
      </c>
      <c r="M340" s="444">
        <v>0.011655454927222737</v>
      </c>
      <c r="N340" s="190">
        <v>275.7</v>
      </c>
      <c r="O340" s="437">
        <f t="shared" si="67"/>
        <v>3.5026157265444864</v>
      </c>
      <c r="P340" s="437">
        <f aca="true" t="shared" si="68" ref="P340:P347">M340*60*1000</f>
        <v>699.3272956333643</v>
      </c>
      <c r="Q340" s="145">
        <f aca="true" t="shared" si="69" ref="Q340:Q347">P340*N340/1000</f>
        <v>192.80453540611853</v>
      </c>
      <c r="S340" s="80"/>
      <c r="T340" s="80"/>
    </row>
    <row r="341" spans="1:20" ht="12.75">
      <c r="A341" s="916"/>
      <c r="B341" s="31">
        <v>4</v>
      </c>
      <c r="C341" s="241" t="s">
        <v>372</v>
      </c>
      <c r="D341" s="191">
        <v>55</v>
      </c>
      <c r="E341" s="191">
        <v>1993</v>
      </c>
      <c r="F341" s="348">
        <v>58.391002</v>
      </c>
      <c r="G341" s="348">
        <v>6.8085</v>
      </c>
      <c r="H341" s="348">
        <v>8.64</v>
      </c>
      <c r="I341" s="348">
        <v>42.942502</v>
      </c>
      <c r="J341" s="350">
        <v>3524.86</v>
      </c>
      <c r="K341" s="808">
        <v>42.942502</v>
      </c>
      <c r="L341" s="350">
        <v>3524.86</v>
      </c>
      <c r="M341" s="444">
        <v>0.012182</v>
      </c>
      <c r="N341" s="190">
        <v>272.9</v>
      </c>
      <c r="O341" s="437">
        <f t="shared" si="67"/>
        <v>3.623669902</v>
      </c>
      <c r="P341" s="437">
        <f t="shared" si="68"/>
        <v>730.92</v>
      </c>
      <c r="Q341" s="145">
        <f t="shared" si="69"/>
        <v>199.46806799999996</v>
      </c>
      <c r="S341" s="80"/>
      <c r="T341" s="80"/>
    </row>
    <row r="342" spans="1:20" ht="12.75">
      <c r="A342" s="916"/>
      <c r="B342" s="31">
        <v>5</v>
      </c>
      <c r="C342" s="241" t="s">
        <v>373</v>
      </c>
      <c r="D342" s="191">
        <v>25</v>
      </c>
      <c r="E342" s="191">
        <v>1978</v>
      </c>
      <c r="F342" s="348">
        <v>22.091</v>
      </c>
      <c r="G342" s="348">
        <v>2.7285</v>
      </c>
      <c r="H342" s="348">
        <v>1</v>
      </c>
      <c r="I342" s="348">
        <v>18.3625</v>
      </c>
      <c r="J342" s="350">
        <v>1284.25</v>
      </c>
      <c r="K342" s="808">
        <v>18.3625</v>
      </c>
      <c r="L342" s="350">
        <v>1284.25</v>
      </c>
      <c r="M342" s="444">
        <v>0.014298</v>
      </c>
      <c r="N342" s="190">
        <v>275.7</v>
      </c>
      <c r="O342" s="437">
        <f t="shared" si="67"/>
        <v>4.296734874</v>
      </c>
      <c r="P342" s="437">
        <f t="shared" si="68"/>
        <v>857.88</v>
      </c>
      <c r="Q342" s="145">
        <f t="shared" si="69"/>
        <v>236.517516</v>
      </c>
      <c r="S342" s="80"/>
      <c r="T342" s="80"/>
    </row>
    <row r="343" spans="1:20" ht="12.75">
      <c r="A343" s="916"/>
      <c r="B343" s="31">
        <v>6</v>
      </c>
      <c r="C343" s="241" t="s">
        <v>374</v>
      </c>
      <c r="D343" s="191">
        <v>9</v>
      </c>
      <c r="E343" s="191">
        <v>2006</v>
      </c>
      <c r="F343" s="348">
        <v>14.125</v>
      </c>
      <c r="G343" s="348">
        <v>0.51</v>
      </c>
      <c r="H343" s="348">
        <v>1.44</v>
      </c>
      <c r="I343" s="348">
        <v>12.175</v>
      </c>
      <c r="J343" s="350">
        <v>887.8</v>
      </c>
      <c r="K343" s="808">
        <v>8.507557</v>
      </c>
      <c r="L343" s="350">
        <v>560.62</v>
      </c>
      <c r="M343" s="444">
        <v>0.015175</v>
      </c>
      <c r="N343" s="190">
        <v>275.7</v>
      </c>
      <c r="O343" s="437">
        <f t="shared" si="67"/>
        <v>4.560284775</v>
      </c>
      <c r="P343" s="437">
        <f t="shared" si="68"/>
        <v>910.5</v>
      </c>
      <c r="Q343" s="145">
        <f t="shared" si="69"/>
        <v>251.02485</v>
      </c>
      <c r="S343" s="80"/>
      <c r="T343" s="80"/>
    </row>
    <row r="344" spans="1:20" ht="12.75">
      <c r="A344" s="916"/>
      <c r="B344" s="31">
        <v>7</v>
      </c>
      <c r="C344" s="241" t="s">
        <v>375</v>
      </c>
      <c r="D344" s="191">
        <v>22</v>
      </c>
      <c r="E344" s="191">
        <v>2004</v>
      </c>
      <c r="F344" s="348">
        <v>30.92</v>
      </c>
      <c r="G344" s="348">
        <v>3.06</v>
      </c>
      <c r="H344" s="348">
        <v>3.52</v>
      </c>
      <c r="I344" s="348">
        <v>24.34</v>
      </c>
      <c r="J344" s="350">
        <v>1548.41</v>
      </c>
      <c r="K344" s="808">
        <v>24.34</v>
      </c>
      <c r="L344" s="350">
        <v>1548.41</v>
      </c>
      <c r="M344" s="444">
        <v>0.015719</v>
      </c>
      <c r="N344" s="190">
        <v>272.9</v>
      </c>
      <c r="O344" s="437">
        <f t="shared" si="67"/>
        <v>4.675789459</v>
      </c>
      <c r="P344" s="437">
        <f t="shared" si="68"/>
        <v>943.14</v>
      </c>
      <c r="Q344" s="145">
        <f t="shared" si="69"/>
        <v>257.382906</v>
      </c>
      <c r="S344" s="80"/>
      <c r="T344" s="80"/>
    </row>
    <row r="345" spans="1:20" ht="12.75">
      <c r="A345" s="916"/>
      <c r="B345" s="31">
        <v>8</v>
      </c>
      <c r="C345" s="241" t="s">
        <v>376</v>
      </c>
      <c r="D345" s="191">
        <v>104</v>
      </c>
      <c r="E345" s="191">
        <v>1965</v>
      </c>
      <c r="F345" s="348">
        <v>94.702005</v>
      </c>
      <c r="G345" s="348">
        <v>7.973952</v>
      </c>
      <c r="H345" s="348">
        <v>15.84</v>
      </c>
      <c r="I345" s="348">
        <v>70.888053</v>
      </c>
      <c r="J345" s="350">
        <v>4447.51</v>
      </c>
      <c r="K345" s="808">
        <v>70.888053</v>
      </c>
      <c r="L345" s="350">
        <v>4447.51</v>
      </c>
      <c r="M345" s="444">
        <v>0.015938</v>
      </c>
      <c r="N345" s="190">
        <v>275.7</v>
      </c>
      <c r="O345" s="437">
        <f t="shared" si="67"/>
        <v>4.789576194</v>
      </c>
      <c r="P345" s="437">
        <f t="shared" si="68"/>
        <v>956.28</v>
      </c>
      <c r="Q345" s="145">
        <f t="shared" si="69"/>
        <v>263.646396</v>
      </c>
      <c r="S345" s="80"/>
      <c r="T345" s="80"/>
    </row>
    <row r="346" spans="1:20" ht="12.75">
      <c r="A346" s="916"/>
      <c r="B346" s="31">
        <v>9</v>
      </c>
      <c r="C346" s="241" t="s">
        <v>377</v>
      </c>
      <c r="D346" s="191">
        <v>60</v>
      </c>
      <c r="E346" s="191">
        <v>1988</v>
      </c>
      <c r="F346" s="348">
        <v>53.008104</v>
      </c>
      <c r="G346" s="348">
        <v>5.4315</v>
      </c>
      <c r="H346" s="348">
        <v>9.6</v>
      </c>
      <c r="I346" s="348">
        <v>37.976604</v>
      </c>
      <c r="J346" s="350">
        <v>2363.76</v>
      </c>
      <c r="K346" s="808">
        <v>37.976604</v>
      </c>
      <c r="L346" s="350">
        <v>2363.76</v>
      </c>
      <c r="M346" s="444">
        <v>0.016066</v>
      </c>
      <c r="N346" s="190">
        <v>275.7</v>
      </c>
      <c r="O346" s="437">
        <f t="shared" si="67"/>
        <v>4.828041858000001</v>
      </c>
      <c r="P346" s="437">
        <f t="shared" si="68"/>
        <v>963.96</v>
      </c>
      <c r="Q346" s="145">
        <f t="shared" si="69"/>
        <v>265.763772</v>
      </c>
      <c r="S346" s="80"/>
      <c r="T346" s="80"/>
    </row>
    <row r="347" spans="1:20" s="88" customFormat="1" ht="13.5" thickBot="1">
      <c r="A347" s="942"/>
      <c r="B347" s="91">
        <v>10</v>
      </c>
      <c r="C347" s="540" t="s">
        <v>378</v>
      </c>
      <c r="D347" s="221">
        <v>54</v>
      </c>
      <c r="E347" s="221">
        <v>1992</v>
      </c>
      <c r="F347" s="349">
        <v>56.353968</v>
      </c>
      <c r="G347" s="349">
        <v>5.3601</v>
      </c>
      <c r="H347" s="349">
        <v>8.64</v>
      </c>
      <c r="I347" s="349">
        <v>42.353893</v>
      </c>
      <c r="J347" s="479">
        <v>2632.94</v>
      </c>
      <c r="K347" s="815">
        <v>42.353893</v>
      </c>
      <c r="L347" s="479">
        <v>2632.94</v>
      </c>
      <c r="M347" s="541">
        <v>0.016086</v>
      </c>
      <c r="N347" s="343">
        <v>275.7</v>
      </c>
      <c r="O347" s="344">
        <f t="shared" si="67"/>
        <v>4.834052118000001</v>
      </c>
      <c r="P347" s="344">
        <f t="shared" si="68"/>
        <v>965.16</v>
      </c>
      <c r="Q347" s="345">
        <f t="shared" si="69"/>
        <v>266.094612</v>
      </c>
      <c r="S347" s="89"/>
      <c r="T347" s="89"/>
    </row>
    <row r="348" spans="1:20" ht="11.25" customHeight="1">
      <c r="A348" s="882" t="s">
        <v>29</v>
      </c>
      <c r="B348" s="33">
        <v>1</v>
      </c>
      <c r="C348" s="186" t="s">
        <v>379</v>
      </c>
      <c r="D348" s="139">
        <v>52</v>
      </c>
      <c r="E348" s="139">
        <v>1976</v>
      </c>
      <c r="F348" s="537">
        <v>68.583999</v>
      </c>
      <c r="G348" s="537">
        <v>8.0733</v>
      </c>
      <c r="H348" s="537">
        <v>8.16</v>
      </c>
      <c r="I348" s="537">
        <v>52.350699</v>
      </c>
      <c r="J348" s="538">
        <v>3247.28</v>
      </c>
      <c r="K348" s="847">
        <v>51.161288</v>
      </c>
      <c r="L348" s="538">
        <v>3176.92</v>
      </c>
      <c r="M348" s="539">
        <v>0.016104</v>
      </c>
      <c r="N348" s="505">
        <v>275.7</v>
      </c>
      <c r="O348" s="506">
        <f t="shared" si="67"/>
        <v>4.839461352</v>
      </c>
      <c r="P348" s="506">
        <f>M348*60*1000</f>
        <v>966.24</v>
      </c>
      <c r="Q348" s="507">
        <f>N348*P348/1000</f>
        <v>266.39236800000003</v>
      </c>
      <c r="S348" s="80"/>
      <c r="T348" s="80"/>
    </row>
    <row r="349" spans="1:20" ht="12.75" customHeight="1">
      <c r="A349" s="883"/>
      <c r="B349" s="35">
        <v>2</v>
      </c>
      <c r="C349" s="174" t="s">
        <v>380</v>
      </c>
      <c r="D349" s="140">
        <v>22</v>
      </c>
      <c r="E349" s="140">
        <v>2006</v>
      </c>
      <c r="F349" s="183">
        <v>26.497</v>
      </c>
      <c r="G349" s="183">
        <v>1.326</v>
      </c>
      <c r="H349" s="183">
        <v>3.52</v>
      </c>
      <c r="I349" s="183">
        <v>21.66</v>
      </c>
      <c r="J349" s="351">
        <v>1279.24</v>
      </c>
      <c r="K349" s="809">
        <v>18.564467</v>
      </c>
      <c r="L349" s="351">
        <v>1150.54</v>
      </c>
      <c r="M349" s="445">
        <v>0.016135</v>
      </c>
      <c r="N349" s="147">
        <v>275.7</v>
      </c>
      <c r="O349" s="148">
        <f t="shared" si="67"/>
        <v>4.848777255</v>
      </c>
      <c r="P349" s="148">
        <f>M349*60*1000</f>
        <v>968.0999999999999</v>
      </c>
      <c r="Q349" s="149">
        <f aca="true" t="shared" si="70" ref="Q349:Q357">N349*P349/1000</f>
        <v>266.90517</v>
      </c>
      <c r="S349" s="80"/>
      <c r="T349" s="80"/>
    </row>
    <row r="350" spans="1:20" ht="12.75" customHeight="1">
      <c r="A350" s="883"/>
      <c r="B350" s="35">
        <v>3</v>
      </c>
      <c r="C350" s="174" t="s">
        <v>381</v>
      </c>
      <c r="D350" s="140">
        <v>55</v>
      </c>
      <c r="E350" s="140">
        <v>1995</v>
      </c>
      <c r="F350" s="183">
        <v>70.025999</v>
      </c>
      <c r="G350" s="183">
        <v>7.905</v>
      </c>
      <c r="H350" s="183">
        <v>8.72</v>
      </c>
      <c r="I350" s="183">
        <v>53.400999</v>
      </c>
      <c r="J350" s="351">
        <v>3308.16</v>
      </c>
      <c r="K350" s="809">
        <v>53.400999</v>
      </c>
      <c r="L350" s="351">
        <v>3308.16</v>
      </c>
      <c r="M350" s="445">
        <v>0.016142</v>
      </c>
      <c r="N350" s="147">
        <v>275.7</v>
      </c>
      <c r="O350" s="148">
        <f t="shared" si="67"/>
        <v>4.850880846</v>
      </c>
      <c r="P350" s="148">
        <f aca="true" t="shared" si="71" ref="P350:P357">M350*60*1000</f>
        <v>968.5200000000001</v>
      </c>
      <c r="Q350" s="149">
        <f t="shared" si="70"/>
        <v>267.02096400000005</v>
      </c>
      <c r="S350" s="80"/>
      <c r="T350" s="80"/>
    </row>
    <row r="351" spans="1:20" ht="12.75" customHeight="1">
      <c r="A351" s="883"/>
      <c r="B351" s="35">
        <v>4</v>
      </c>
      <c r="C351" s="174" t="s">
        <v>382</v>
      </c>
      <c r="D351" s="140">
        <v>100</v>
      </c>
      <c r="E351" s="140">
        <v>1966</v>
      </c>
      <c r="F351" s="183">
        <v>98.263011</v>
      </c>
      <c r="G351" s="183">
        <v>8.2926</v>
      </c>
      <c r="H351" s="183">
        <v>15.84</v>
      </c>
      <c r="I351" s="183">
        <v>74.130411</v>
      </c>
      <c r="J351" s="351">
        <v>4481.51</v>
      </c>
      <c r="K351" s="809">
        <v>74.130411</v>
      </c>
      <c r="L351" s="351">
        <v>4481.51</v>
      </c>
      <c r="M351" s="445">
        <v>0.016541</v>
      </c>
      <c r="N351" s="147">
        <v>275.7</v>
      </c>
      <c r="O351" s="148">
        <f t="shared" si="67"/>
        <v>4.970785533000001</v>
      </c>
      <c r="P351" s="148">
        <f t="shared" si="71"/>
        <v>992.46</v>
      </c>
      <c r="Q351" s="149">
        <f t="shared" si="70"/>
        <v>273.621222</v>
      </c>
      <c r="S351" s="80"/>
      <c r="T351" s="80"/>
    </row>
    <row r="352" spans="1:20" ht="12.75" customHeight="1">
      <c r="A352" s="883"/>
      <c r="B352" s="35">
        <v>5</v>
      </c>
      <c r="C352" s="174" t="s">
        <v>383</v>
      </c>
      <c r="D352" s="140">
        <v>101</v>
      </c>
      <c r="E352" s="140">
        <v>1968</v>
      </c>
      <c r="F352" s="183">
        <v>98.337997</v>
      </c>
      <c r="G352" s="183">
        <v>8.16</v>
      </c>
      <c r="H352" s="183">
        <v>15.92</v>
      </c>
      <c r="I352" s="183">
        <v>74.257997</v>
      </c>
      <c r="J352" s="351">
        <v>4482.08</v>
      </c>
      <c r="K352" s="809">
        <v>74.257997</v>
      </c>
      <c r="L352" s="351">
        <v>4482.08</v>
      </c>
      <c r="M352" s="445">
        <v>0.016567</v>
      </c>
      <c r="N352" s="147">
        <v>275.7</v>
      </c>
      <c r="O352" s="148">
        <f t="shared" si="67"/>
        <v>4.978598870999999</v>
      </c>
      <c r="P352" s="148">
        <f t="shared" si="71"/>
        <v>994.0199999999999</v>
      </c>
      <c r="Q352" s="149">
        <f t="shared" si="70"/>
        <v>274.05131399999993</v>
      </c>
      <c r="S352" s="80"/>
      <c r="T352" s="80"/>
    </row>
    <row r="353" spans="1:20" ht="12.75" customHeight="1">
      <c r="A353" s="883"/>
      <c r="B353" s="35">
        <v>6</v>
      </c>
      <c r="C353" s="174" t="s">
        <v>384</v>
      </c>
      <c r="D353" s="140">
        <v>100</v>
      </c>
      <c r="E353" s="140">
        <v>1973</v>
      </c>
      <c r="F353" s="183">
        <v>102.599988</v>
      </c>
      <c r="G353" s="183">
        <v>11.490045</v>
      </c>
      <c r="H353" s="183">
        <v>15.971</v>
      </c>
      <c r="I353" s="183">
        <v>75.138943</v>
      </c>
      <c r="J353" s="351">
        <v>4362.31</v>
      </c>
      <c r="K353" s="809">
        <v>75.138943</v>
      </c>
      <c r="L353" s="351">
        <v>4362.31</v>
      </c>
      <c r="M353" s="445">
        <v>0.017224</v>
      </c>
      <c r="N353" s="147">
        <v>275.7</v>
      </c>
      <c r="O353" s="148">
        <f t="shared" si="67"/>
        <v>5.176035912000001</v>
      </c>
      <c r="P353" s="148">
        <f t="shared" si="71"/>
        <v>1033.4399999999998</v>
      </c>
      <c r="Q353" s="149">
        <f t="shared" si="70"/>
        <v>284.9194079999999</v>
      </c>
      <c r="S353" s="80"/>
      <c r="T353" s="80"/>
    </row>
    <row r="354" spans="1:20" ht="12.75" customHeight="1">
      <c r="A354" s="883"/>
      <c r="B354" s="35">
        <v>7</v>
      </c>
      <c r="C354" s="174" t="s">
        <v>385</v>
      </c>
      <c r="D354" s="140">
        <v>50</v>
      </c>
      <c r="E354" s="140">
        <v>1973</v>
      </c>
      <c r="F354" s="183">
        <v>62.984999</v>
      </c>
      <c r="G354" s="183">
        <v>9.909453</v>
      </c>
      <c r="H354" s="183">
        <v>7.92</v>
      </c>
      <c r="I354" s="183">
        <v>45.155546</v>
      </c>
      <c r="J354" s="351">
        <v>2598.54</v>
      </c>
      <c r="K354" s="809">
        <v>42.303066</v>
      </c>
      <c r="L354" s="351">
        <v>2434.39</v>
      </c>
      <c r="M354" s="445">
        <v>0.017377</v>
      </c>
      <c r="N354" s="147">
        <v>275.7</v>
      </c>
      <c r="O354" s="148">
        <f t="shared" si="67"/>
        <v>5.222014401</v>
      </c>
      <c r="P354" s="148">
        <f t="shared" si="71"/>
        <v>1042.6200000000001</v>
      </c>
      <c r="Q354" s="149">
        <f t="shared" si="70"/>
        <v>287.45033400000005</v>
      </c>
      <c r="S354" s="80"/>
      <c r="T354" s="80"/>
    </row>
    <row r="355" spans="1:20" ht="12.75" customHeight="1">
      <c r="A355" s="883"/>
      <c r="B355" s="35">
        <v>8</v>
      </c>
      <c r="C355" s="174" t="s">
        <v>386</v>
      </c>
      <c r="D355" s="140">
        <v>80</v>
      </c>
      <c r="E355" s="140">
        <v>1964</v>
      </c>
      <c r="F355" s="183">
        <v>86.728004</v>
      </c>
      <c r="G355" s="183">
        <v>7.191</v>
      </c>
      <c r="H355" s="183">
        <v>12.72</v>
      </c>
      <c r="I355" s="183">
        <v>66.817004</v>
      </c>
      <c r="J355" s="351">
        <v>3830.86</v>
      </c>
      <c r="K355" s="809">
        <v>66.817004</v>
      </c>
      <c r="L355" s="351">
        <v>3830.86</v>
      </c>
      <c r="M355" s="445">
        <v>0.017441</v>
      </c>
      <c r="N355" s="147">
        <v>275.7</v>
      </c>
      <c r="O355" s="148">
        <f t="shared" si="67"/>
        <v>5.241247233</v>
      </c>
      <c r="P355" s="148">
        <f t="shared" si="71"/>
        <v>1046.4600000000003</v>
      </c>
      <c r="Q355" s="149">
        <f t="shared" si="70"/>
        <v>288.5090220000001</v>
      </c>
      <c r="S355" s="80"/>
      <c r="T355" s="80"/>
    </row>
    <row r="356" spans="1:20" ht="13.5" customHeight="1">
      <c r="A356" s="883"/>
      <c r="B356" s="35">
        <v>9</v>
      </c>
      <c r="C356" s="174" t="s">
        <v>387</v>
      </c>
      <c r="D356" s="140">
        <v>55</v>
      </c>
      <c r="E356" s="140">
        <v>1991</v>
      </c>
      <c r="F356" s="183">
        <v>75.988</v>
      </c>
      <c r="G356" s="183">
        <v>10.307151</v>
      </c>
      <c r="H356" s="183">
        <v>8.8</v>
      </c>
      <c r="I356" s="183">
        <v>56.880849</v>
      </c>
      <c r="J356" s="351">
        <v>3159.91</v>
      </c>
      <c r="K356" s="809">
        <v>56.880849</v>
      </c>
      <c r="L356" s="351">
        <v>3159.91</v>
      </c>
      <c r="M356" s="445">
        <v>0.018</v>
      </c>
      <c r="N356" s="147">
        <v>275.7</v>
      </c>
      <c r="O356" s="148">
        <f t="shared" si="67"/>
        <v>5.409234</v>
      </c>
      <c r="P356" s="148">
        <f t="shared" si="71"/>
        <v>1079.9999999999998</v>
      </c>
      <c r="Q356" s="149">
        <f t="shared" si="70"/>
        <v>297.7559999999999</v>
      </c>
      <c r="S356" s="80"/>
      <c r="T356" s="80"/>
    </row>
    <row r="357" spans="1:20" ht="13.5" customHeight="1" thickBot="1">
      <c r="A357" s="884"/>
      <c r="B357" s="83">
        <v>10</v>
      </c>
      <c r="C357" s="182" t="s">
        <v>388</v>
      </c>
      <c r="D357" s="141">
        <v>22</v>
      </c>
      <c r="E357" s="141">
        <v>1994</v>
      </c>
      <c r="F357" s="184">
        <v>26.495</v>
      </c>
      <c r="G357" s="184">
        <v>2.04</v>
      </c>
      <c r="H357" s="184">
        <v>3.52</v>
      </c>
      <c r="I357" s="184">
        <v>20.935</v>
      </c>
      <c r="J357" s="352">
        <v>1162.77</v>
      </c>
      <c r="K357" s="817">
        <v>20.935</v>
      </c>
      <c r="L357" s="352">
        <v>1162.77</v>
      </c>
      <c r="M357" s="544">
        <v>0.018004</v>
      </c>
      <c r="N357" s="185">
        <v>275.7</v>
      </c>
      <c r="O357" s="179">
        <f t="shared" si="67"/>
        <v>5.410436052</v>
      </c>
      <c r="P357" s="179">
        <f t="shared" si="71"/>
        <v>1080.2399999999998</v>
      </c>
      <c r="Q357" s="180">
        <f t="shared" si="70"/>
        <v>297.8221679999999</v>
      </c>
      <c r="S357" s="80"/>
      <c r="T357" s="80"/>
    </row>
    <row r="358" spans="1:20" ht="12.75">
      <c r="A358" s="1003" t="s">
        <v>30</v>
      </c>
      <c r="B358" s="218">
        <v>1</v>
      </c>
      <c r="C358" s="542" t="s">
        <v>389</v>
      </c>
      <c r="D358" s="323">
        <v>8</v>
      </c>
      <c r="E358" s="323">
        <v>1970</v>
      </c>
      <c r="F358" s="474">
        <v>13.126</v>
      </c>
      <c r="G358" s="474">
        <v>1.224</v>
      </c>
      <c r="H358" s="474">
        <v>0.96</v>
      </c>
      <c r="I358" s="474">
        <v>10.942</v>
      </c>
      <c r="J358" s="481">
        <v>321.83</v>
      </c>
      <c r="K358" s="818">
        <v>7.676366</v>
      </c>
      <c r="L358" s="481">
        <v>225.78</v>
      </c>
      <c r="M358" s="543">
        <v>0.033999</v>
      </c>
      <c r="N358" s="457">
        <v>275.7</v>
      </c>
      <c r="O358" s="458">
        <f t="shared" si="67"/>
        <v>10.217141487000001</v>
      </c>
      <c r="P358" s="458">
        <f>M358*60*1000</f>
        <v>2039.94</v>
      </c>
      <c r="Q358" s="459">
        <f>N358*P358/1000</f>
        <v>562.411458</v>
      </c>
      <c r="S358" s="80"/>
      <c r="T358" s="80"/>
    </row>
    <row r="359" spans="1:20" ht="12.75">
      <c r="A359" s="939"/>
      <c r="B359" s="219">
        <v>2</v>
      </c>
      <c r="C359" s="230" t="s">
        <v>390</v>
      </c>
      <c r="D359" s="220">
        <v>5</v>
      </c>
      <c r="E359" s="220">
        <v>1890</v>
      </c>
      <c r="F359" s="439">
        <v>12.224</v>
      </c>
      <c r="G359" s="439">
        <v>0.051</v>
      </c>
      <c r="H359" s="439">
        <v>0.72</v>
      </c>
      <c r="I359" s="439">
        <v>11.453</v>
      </c>
      <c r="J359" s="441">
        <v>336.82</v>
      </c>
      <c r="K359" s="810">
        <v>6.146781</v>
      </c>
      <c r="L359" s="441">
        <v>180.77</v>
      </c>
      <c r="M359" s="446">
        <v>0.034003</v>
      </c>
      <c r="N359" s="346">
        <v>275.7</v>
      </c>
      <c r="O359" s="347">
        <f t="shared" si="67"/>
        <v>10.218343539000001</v>
      </c>
      <c r="P359" s="347">
        <f>M359*60*1000</f>
        <v>2040.1799999999998</v>
      </c>
      <c r="Q359" s="460">
        <f aca="true" t="shared" si="72" ref="Q359:Q367">N359*P359/1000</f>
        <v>562.477626</v>
      </c>
      <c r="S359" s="80"/>
      <c r="T359" s="80"/>
    </row>
    <row r="360" spans="1:20" ht="12.75">
      <c r="A360" s="939"/>
      <c r="B360" s="219">
        <v>3</v>
      </c>
      <c r="C360" s="230" t="s">
        <v>391</v>
      </c>
      <c r="D360" s="220">
        <v>8</v>
      </c>
      <c r="E360" s="220">
        <v>1962</v>
      </c>
      <c r="F360" s="439">
        <v>14.056</v>
      </c>
      <c r="G360" s="439">
        <v>0.612</v>
      </c>
      <c r="H360" s="439">
        <v>0.97</v>
      </c>
      <c r="I360" s="439">
        <v>12.474</v>
      </c>
      <c r="J360" s="441">
        <v>366.73</v>
      </c>
      <c r="K360" s="810">
        <v>12.474</v>
      </c>
      <c r="L360" s="441">
        <v>366.73</v>
      </c>
      <c r="M360" s="446">
        <v>0.034014</v>
      </c>
      <c r="N360" s="346">
        <v>275.7</v>
      </c>
      <c r="O360" s="347">
        <f t="shared" si="67"/>
        <v>10.221649182</v>
      </c>
      <c r="P360" s="347">
        <f aca="true" t="shared" si="73" ref="P360:P367">M360*60*1000</f>
        <v>2040.8400000000001</v>
      </c>
      <c r="Q360" s="460">
        <f t="shared" si="72"/>
        <v>562.659588</v>
      </c>
      <c r="S360" s="80"/>
      <c r="T360" s="80"/>
    </row>
    <row r="361" spans="1:20" ht="12.75">
      <c r="A361" s="939"/>
      <c r="B361" s="219">
        <v>4</v>
      </c>
      <c r="C361" s="230" t="s">
        <v>392</v>
      </c>
      <c r="D361" s="220">
        <v>5</v>
      </c>
      <c r="E361" s="220">
        <v>1880</v>
      </c>
      <c r="F361" s="439">
        <v>8.221</v>
      </c>
      <c r="G361" s="439">
        <v>0.51</v>
      </c>
      <c r="H361" s="439">
        <v>0.72</v>
      </c>
      <c r="I361" s="439">
        <v>6.991</v>
      </c>
      <c r="J361" s="441">
        <v>377.71</v>
      </c>
      <c r="K361" s="810">
        <v>6.275112</v>
      </c>
      <c r="L361" s="441">
        <v>184.32</v>
      </c>
      <c r="M361" s="446">
        <v>0.034044</v>
      </c>
      <c r="N361" s="346">
        <v>275.7</v>
      </c>
      <c r="O361" s="347">
        <f t="shared" si="67"/>
        <v>10.230664572</v>
      </c>
      <c r="P361" s="347">
        <f t="shared" si="73"/>
        <v>2042.64</v>
      </c>
      <c r="Q361" s="460">
        <f t="shared" si="72"/>
        <v>563.155848</v>
      </c>
      <c r="S361" s="80"/>
      <c r="T361" s="80"/>
    </row>
    <row r="362" spans="1:20" ht="12.75">
      <c r="A362" s="939"/>
      <c r="B362" s="219">
        <v>5</v>
      </c>
      <c r="C362" s="230" t="s">
        <v>393</v>
      </c>
      <c r="D362" s="220">
        <v>24</v>
      </c>
      <c r="E362" s="220">
        <v>1961</v>
      </c>
      <c r="F362" s="439">
        <v>35.968</v>
      </c>
      <c r="G362" s="439">
        <v>1.802952</v>
      </c>
      <c r="H362" s="439">
        <v>3.6</v>
      </c>
      <c r="I362" s="439">
        <v>30.565048</v>
      </c>
      <c r="J362" s="441">
        <v>887.52</v>
      </c>
      <c r="K362" s="810">
        <v>24.721831</v>
      </c>
      <c r="L362" s="441">
        <v>717.85</v>
      </c>
      <c r="M362" s="446">
        <v>0.034438</v>
      </c>
      <c r="N362" s="346">
        <v>275.7</v>
      </c>
      <c r="O362" s="347">
        <f t="shared" si="67"/>
        <v>10.349066694000001</v>
      </c>
      <c r="P362" s="347">
        <f t="shared" si="73"/>
        <v>2066.28</v>
      </c>
      <c r="Q362" s="460">
        <f t="shared" si="72"/>
        <v>569.673396</v>
      </c>
      <c r="S362" s="80"/>
      <c r="T362" s="80"/>
    </row>
    <row r="363" spans="1:20" ht="12.75">
      <c r="A363" s="939"/>
      <c r="B363" s="219">
        <v>6</v>
      </c>
      <c r="C363" s="230" t="s">
        <v>394</v>
      </c>
      <c r="D363" s="220">
        <v>12</v>
      </c>
      <c r="E363" s="220">
        <v>1972</v>
      </c>
      <c r="F363" s="439">
        <v>18.619</v>
      </c>
      <c r="G363" s="439">
        <v>0</v>
      </c>
      <c r="H363" s="439">
        <v>0</v>
      </c>
      <c r="I363" s="439">
        <v>18.619</v>
      </c>
      <c r="J363" s="441">
        <v>532.47</v>
      </c>
      <c r="K363" s="810">
        <v>18.619</v>
      </c>
      <c r="L363" s="441">
        <v>532.47</v>
      </c>
      <c r="M363" s="446">
        <v>0.034967</v>
      </c>
      <c r="N363" s="346">
        <v>275.7</v>
      </c>
      <c r="O363" s="347">
        <f t="shared" si="67"/>
        <v>10.508038071</v>
      </c>
      <c r="P363" s="347">
        <f t="shared" si="73"/>
        <v>2098.02</v>
      </c>
      <c r="Q363" s="460">
        <f t="shared" si="72"/>
        <v>578.4241139999999</v>
      </c>
      <c r="S363" s="80"/>
      <c r="T363" s="80"/>
    </row>
    <row r="364" spans="1:20" ht="12.75">
      <c r="A364" s="939"/>
      <c r="B364" s="219">
        <v>7</v>
      </c>
      <c r="C364" s="230" t="s">
        <v>395</v>
      </c>
      <c r="D364" s="220">
        <v>7</v>
      </c>
      <c r="E364" s="220">
        <v>1900</v>
      </c>
      <c r="F364" s="439">
        <v>10.566</v>
      </c>
      <c r="G364" s="439">
        <v>0.349452</v>
      </c>
      <c r="H364" s="439">
        <v>0.96</v>
      </c>
      <c r="I364" s="439">
        <v>9.256548</v>
      </c>
      <c r="J364" s="441">
        <v>263.54</v>
      </c>
      <c r="K364" s="810">
        <v>5.496536</v>
      </c>
      <c r="L364" s="441">
        <v>156.49</v>
      </c>
      <c r="M364" s="446">
        <v>0.035123</v>
      </c>
      <c r="N364" s="346">
        <v>275.7</v>
      </c>
      <c r="O364" s="347">
        <f t="shared" si="67"/>
        <v>10.554918099000002</v>
      </c>
      <c r="P364" s="347">
        <f t="shared" si="73"/>
        <v>2107.38</v>
      </c>
      <c r="Q364" s="460">
        <f t="shared" si="72"/>
        <v>581.0046659999999</v>
      </c>
      <c r="S364" s="80"/>
      <c r="T364" s="80"/>
    </row>
    <row r="365" spans="1:20" ht="12.75">
      <c r="A365" s="939"/>
      <c r="B365" s="219">
        <v>8</v>
      </c>
      <c r="C365" s="230" t="s">
        <v>396</v>
      </c>
      <c r="D365" s="220">
        <v>22</v>
      </c>
      <c r="E365" s="220">
        <v>1960</v>
      </c>
      <c r="F365" s="439">
        <v>36.287</v>
      </c>
      <c r="G365" s="439">
        <v>0.816</v>
      </c>
      <c r="H365" s="439">
        <v>3.04</v>
      </c>
      <c r="I365" s="439">
        <v>32.431</v>
      </c>
      <c r="J365" s="441">
        <v>943.17</v>
      </c>
      <c r="K365" s="810">
        <v>22.332002</v>
      </c>
      <c r="L365" s="441">
        <v>630.75</v>
      </c>
      <c r="M365" s="446">
        <v>0.035405</v>
      </c>
      <c r="N365" s="346">
        <v>275.7</v>
      </c>
      <c r="O365" s="347">
        <f t="shared" si="67"/>
        <v>10.639662764999999</v>
      </c>
      <c r="P365" s="347">
        <f t="shared" si="73"/>
        <v>2124.2999999999997</v>
      </c>
      <c r="Q365" s="460">
        <f t="shared" si="72"/>
        <v>585.66951</v>
      </c>
      <c r="S365" s="80"/>
      <c r="T365" s="80"/>
    </row>
    <row r="366" spans="1:20" ht="12.75">
      <c r="A366" s="940"/>
      <c r="B366" s="231">
        <v>9</v>
      </c>
      <c r="C366" s="230" t="s">
        <v>397</v>
      </c>
      <c r="D366" s="220">
        <v>8</v>
      </c>
      <c r="E366" s="220">
        <v>1956</v>
      </c>
      <c r="F366" s="439">
        <v>16.7348</v>
      </c>
      <c r="G366" s="439">
        <v>0</v>
      </c>
      <c r="H366" s="439">
        <v>0</v>
      </c>
      <c r="I366" s="439">
        <v>16.7348</v>
      </c>
      <c r="J366" s="441">
        <v>469.85</v>
      </c>
      <c r="K366" s="810">
        <v>16.7348</v>
      </c>
      <c r="L366" s="441">
        <v>469.85</v>
      </c>
      <c r="M366" s="446">
        <v>0.035617</v>
      </c>
      <c r="N366" s="346">
        <v>275.7</v>
      </c>
      <c r="O366" s="347">
        <f t="shared" si="67"/>
        <v>10.703371521000001</v>
      </c>
      <c r="P366" s="347">
        <f t="shared" si="73"/>
        <v>2137.02</v>
      </c>
      <c r="Q366" s="460">
        <f t="shared" si="72"/>
        <v>589.176414</v>
      </c>
      <c r="S366" s="80"/>
      <c r="T366" s="80"/>
    </row>
    <row r="367" spans="1:20" ht="13.5" thickBot="1">
      <c r="A367" s="941"/>
      <c r="B367" s="232">
        <v>10</v>
      </c>
      <c r="C367" s="233" t="s">
        <v>398</v>
      </c>
      <c r="D367" s="224">
        <v>6</v>
      </c>
      <c r="E367" s="224">
        <v>1959</v>
      </c>
      <c r="F367" s="513">
        <v>12.798</v>
      </c>
      <c r="G367" s="513">
        <v>0.459</v>
      </c>
      <c r="H367" s="513">
        <v>0.96</v>
      </c>
      <c r="I367" s="513">
        <v>11.379</v>
      </c>
      <c r="J367" s="515">
        <v>317.83</v>
      </c>
      <c r="K367" s="826">
        <v>11.379</v>
      </c>
      <c r="L367" s="515">
        <v>317.83</v>
      </c>
      <c r="M367" s="553">
        <v>0.035802</v>
      </c>
      <c r="N367" s="511">
        <v>275.7</v>
      </c>
      <c r="O367" s="509">
        <f t="shared" si="67"/>
        <v>10.758966426</v>
      </c>
      <c r="P367" s="509">
        <f t="shared" si="73"/>
        <v>2148.12</v>
      </c>
      <c r="Q367" s="510">
        <f t="shared" si="72"/>
        <v>592.2366839999999</v>
      </c>
      <c r="S367" s="80"/>
      <c r="T367" s="80"/>
    </row>
    <row r="368" spans="1:20" ht="12.75">
      <c r="A368" s="901" t="s">
        <v>12</v>
      </c>
      <c r="B368" s="73">
        <v>1</v>
      </c>
      <c r="C368" s="545" t="s">
        <v>399</v>
      </c>
      <c r="D368" s="546">
        <v>9</v>
      </c>
      <c r="E368" s="546">
        <v>1965</v>
      </c>
      <c r="F368" s="547">
        <v>15.107998</v>
      </c>
      <c r="G368" s="547">
        <v>0.663</v>
      </c>
      <c r="H368" s="547">
        <v>0.07</v>
      </c>
      <c r="I368" s="547">
        <v>14.374998</v>
      </c>
      <c r="J368" s="548">
        <v>399.34</v>
      </c>
      <c r="K368" s="867">
        <v>14.374998</v>
      </c>
      <c r="L368" s="548">
        <v>399.34</v>
      </c>
      <c r="M368" s="549">
        <v>0.035996</v>
      </c>
      <c r="N368" s="550">
        <v>275.7</v>
      </c>
      <c r="O368" s="551">
        <f t="shared" si="67"/>
        <v>10.817265948000001</v>
      </c>
      <c r="P368" s="551">
        <f>M368*60*1000</f>
        <v>2159.7599999999998</v>
      </c>
      <c r="Q368" s="552">
        <f>N368*P368/1000</f>
        <v>595.4458319999999</v>
      </c>
      <c r="S368" s="80"/>
      <c r="T368" s="80"/>
    </row>
    <row r="369" spans="1:20" ht="12.75">
      <c r="A369" s="902"/>
      <c r="B369" s="40">
        <v>2</v>
      </c>
      <c r="C369" s="175" t="s">
        <v>400</v>
      </c>
      <c r="D369" s="176">
        <v>4</v>
      </c>
      <c r="E369" s="176">
        <v>1850</v>
      </c>
      <c r="F369" s="292">
        <v>7.741</v>
      </c>
      <c r="G369" s="292">
        <v>0.102</v>
      </c>
      <c r="H369" s="292">
        <v>0.64</v>
      </c>
      <c r="I369" s="292">
        <v>6.999</v>
      </c>
      <c r="J369" s="442">
        <v>190.95</v>
      </c>
      <c r="K369" s="811">
        <v>5.678738</v>
      </c>
      <c r="L369" s="442">
        <v>154.93</v>
      </c>
      <c r="M369" s="447">
        <v>0.036653</v>
      </c>
      <c r="N369" s="188">
        <v>275.7</v>
      </c>
      <c r="O369" s="195">
        <f t="shared" si="67"/>
        <v>11.014702989</v>
      </c>
      <c r="P369" s="195">
        <f>M369*60*1000</f>
        <v>2199.18</v>
      </c>
      <c r="Q369" s="194">
        <f aca="true" t="shared" si="74" ref="Q369:Q377">N369*P369/1000</f>
        <v>606.3139259999999</v>
      </c>
      <c r="S369" s="80"/>
      <c r="T369" s="80"/>
    </row>
    <row r="370" spans="1:20" ht="12.75">
      <c r="A370" s="902"/>
      <c r="B370" s="40">
        <v>3</v>
      </c>
      <c r="C370" s="175" t="s">
        <v>401</v>
      </c>
      <c r="D370" s="176">
        <v>3</v>
      </c>
      <c r="E370" s="176">
        <v>1935</v>
      </c>
      <c r="F370" s="292">
        <v>12.6908</v>
      </c>
      <c r="G370" s="292">
        <v>0.561</v>
      </c>
      <c r="H370" s="292">
        <v>0.32</v>
      </c>
      <c r="I370" s="292">
        <v>11.8098</v>
      </c>
      <c r="J370" s="442">
        <v>321.48</v>
      </c>
      <c r="K370" s="811">
        <v>11.8098</v>
      </c>
      <c r="L370" s="442">
        <v>321.48</v>
      </c>
      <c r="M370" s="447">
        <v>0.036735</v>
      </c>
      <c r="N370" s="188">
        <v>275.7</v>
      </c>
      <c r="O370" s="195">
        <f t="shared" si="67"/>
        <v>11.039345055</v>
      </c>
      <c r="P370" s="195">
        <f aca="true" t="shared" si="75" ref="P370:P377">M370*60*1000</f>
        <v>2204.1</v>
      </c>
      <c r="Q370" s="194">
        <f t="shared" si="74"/>
        <v>607.67037</v>
      </c>
      <c r="S370" s="80"/>
      <c r="T370" s="80"/>
    </row>
    <row r="371" spans="1:20" ht="12.75">
      <c r="A371" s="902"/>
      <c r="B371" s="40">
        <v>4</v>
      </c>
      <c r="C371" s="175" t="s">
        <v>402</v>
      </c>
      <c r="D371" s="176">
        <v>13</v>
      </c>
      <c r="E371" s="176">
        <v>1961</v>
      </c>
      <c r="F371" s="292">
        <v>21.848</v>
      </c>
      <c r="G371" s="292">
        <v>1.02</v>
      </c>
      <c r="H371" s="292">
        <v>1.92</v>
      </c>
      <c r="I371" s="292">
        <v>18.908</v>
      </c>
      <c r="J371" s="442">
        <v>513.65</v>
      </c>
      <c r="K371" s="811">
        <v>18.908</v>
      </c>
      <c r="L371" s="442">
        <v>513.65</v>
      </c>
      <c r="M371" s="447">
        <v>0.036811</v>
      </c>
      <c r="N371" s="188">
        <v>275.7</v>
      </c>
      <c r="O371" s="195">
        <f t="shared" si="67"/>
        <v>11.062184043000002</v>
      </c>
      <c r="P371" s="195">
        <f t="shared" si="75"/>
        <v>2208.66</v>
      </c>
      <c r="Q371" s="194">
        <f t="shared" si="74"/>
        <v>608.927562</v>
      </c>
      <c r="S371" s="80"/>
      <c r="T371" s="80"/>
    </row>
    <row r="372" spans="1:20" ht="12.75">
      <c r="A372" s="902"/>
      <c r="B372" s="40">
        <v>5</v>
      </c>
      <c r="C372" s="175" t="s">
        <v>403</v>
      </c>
      <c r="D372" s="176">
        <v>8</v>
      </c>
      <c r="E372" s="176">
        <v>1968</v>
      </c>
      <c r="F372" s="292">
        <v>15.325</v>
      </c>
      <c r="G372" s="292">
        <v>0.714</v>
      </c>
      <c r="H372" s="292">
        <v>0.07</v>
      </c>
      <c r="I372" s="292">
        <v>14.541</v>
      </c>
      <c r="J372" s="442">
        <v>394.35</v>
      </c>
      <c r="K372" s="811">
        <v>14.541</v>
      </c>
      <c r="L372" s="442">
        <v>394.35</v>
      </c>
      <c r="M372" s="447">
        <v>0.036873</v>
      </c>
      <c r="N372" s="188">
        <v>275.7</v>
      </c>
      <c r="O372" s="195">
        <f t="shared" si="67"/>
        <v>11.080815849</v>
      </c>
      <c r="P372" s="195">
        <f t="shared" si="75"/>
        <v>2212.38</v>
      </c>
      <c r="Q372" s="194">
        <f t="shared" si="74"/>
        <v>609.953166</v>
      </c>
      <c r="S372" s="80"/>
      <c r="T372" s="80"/>
    </row>
    <row r="373" spans="1:20" ht="12.75">
      <c r="A373" s="902"/>
      <c r="B373" s="40">
        <v>6</v>
      </c>
      <c r="C373" s="175" t="s">
        <v>404</v>
      </c>
      <c r="D373" s="176">
        <v>12</v>
      </c>
      <c r="E373" s="176">
        <v>1973</v>
      </c>
      <c r="F373" s="292">
        <v>19.460999</v>
      </c>
      <c r="G373" s="292">
        <v>0</v>
      </c>
      <c r="H373" s="292">
        <v>0</v>
      </c>
      <c r="I373" s="292">
        <v>19.460999</v>
      </c>
      <c r="J373" s="442">
        <v>510.06</v>
      </c>
      <c r="K373" s="811">
        <v>19.460999</v>
      </c>
      <c r="L373" s="442">
        <v>510.06</v>
      </c>
      <c r="M373" s="447">
        <v>0.038154</v>
      </c>
      <c r="N373" s="188">
        <v>275.7</v>
      </c>
      <c r="O373" s="195">
        <f t="shared" si="67"/>
        <v>11.465773001999999</v>
      </c>
      <c r="P373" s="195">
        <f t="shared" si="75"/>
        <v>2289.24</v>
      </c>
      <c r="Q373" s="194">
        <f t="shared" si="74"/>
        <v>631.1434679999999</v>
      </c>
      <c r="S373" s="80"/>
      <c r="T373" s="80"/>
    </row>
    <row r="374" spans="1:20" ht="12.75">
      <c r="A374" s="902"/>
      <c r="B374" s="40">
        <v>7</v>
      </c>
      <c r="C374" s="175" t="s">
        <v>405</v>
      </c>
      <c r="D374" s="176">
        <v>83</v>
      </c>
      <c r="E374" s="176">
        <v>1963</v>
      </c>
      <c r="F374" s="292">
        <v>56.875999</v>
      </c>
      <c r="G374" s="292">
        <v>0</v>
      </c>
      <c r="H374" s="292">
        <v>0</v>
      </c>
      <c r="I374" s="292">
        <v>56.875999</v>
      </c>
      <c r="J374" s="442">
        <v>1484.32</v>
      </c>
      <c r="K374" s="811">
        <v>54.092205</v>
      </c>
      <c r="L374" s="442">
        <v>1411.67</v>
      </c>
      <c r="M374" s="447">
        <v>0.038317</v>
      </c>
      <c r="N374" s="188">
        <v>275.7</v>
      </c>
      <c r="O374" s="195">
        <f t="shared" si="67"/>
        <v>11.514756621</v>
      </c>
      <c r="P374" s="195">
        <f t="shared" si="75"/>
        <v>2299.0199999999995</v>
      </c>
      <c r="Q374" s="194">
        <f t="shared" si="74"/>
        <v>633.8398139999999</v>
      </c>
      <c r="S374" s="80"/>
      <c r="T374" s="80"/>
    </row>
    <row r="375" spans="1:20" ht="12.75">
      <c r="A375" s="902"/>
      <c r="B375" s="40">
        <v>8</v>
      </c>
      <c r="C375" s="175" t="s">
        <v>406</v>
      </c>
      <c r="D375" s="176">
        <v>4</v>
      </c>
      <c r="E375" s="176">
        <v>1870</v>
      </c>
      <c r="F375" s="292">
        <v>8.199</v>
      </c>
      <c r="G375" s="292">
        <v>0.5355</v>
      </c>
      <c r="H375" s="292">
        <v>0.64</v>
      </c>
      <c r="I375" s="292">
        <v>7.0235</v>
      </c>
      <c r="J375" s="442">
        <v>160.97</v>
      </c>
      <c r="K375" s="811">
        <v>7.0235</v>
      </c>
      <c r="L375" s="442">
        <v>160.97</v>
      </c>
      <c r="M375" s="447">
        <v>0.043632</v>
      </c>
      <c r="N375" s="188">
        <v>275.7</v>
      </c>
      <c r="O375" s="195">
        <f t="shared" si="67"/>
        <v>13.111983216</v>
      </c>
      <c r="P375" s="195">
        <f t="shared" si="75"/>
        <v>2617.9199999999996</v>
      </c>
      <c r="Q375" s="194">
        <f t="shared" si="74"/>
        <v>721.7605439999999</v>
      </c>
      <c r="S375" s="80"/>
      <c r="T375" s="80"/>
    </row>
    <row r="376" spans="1:20" ht="12.75">
      <c r="A376" s="902"/>
      <c r="B376" s="40">
        <v>9</v>
      </c>
      <c r="C376" s="234" t="s">
        <v>407</v>
      </c>
      <c r="D376" s="176">
        <v>5</v>
      </c>
      <c r="E376" s="176">
        <v>1938</v>
      </c>
      <c r="F376" s="292">
        <v>7.034999</v>
      </c>
      <c r="G376" s="292">
        <v>0.204</v>
      </c>
      <c r="H376" s="292">
        <v>0.04</v>
      </c>
      <c r="I376" s="292">
        <v>6.790999</v>
      </c>
      <c r="J376" s="442">
        <v>152.85</v>
      </c>
      <c r="K376" s="811">
        <v>6.790999</v>
      </c>
      <c r="L376" s="442">
        <v>152.85</v>
      </c>
      <c r="M376" s="447">
        <v>0.044429</v>
      </c>
      <c r="N376" s="188">
        <v>275.7</v>
      </c>
      <c r="O376" s="195">
        <f t="shared" si="67"/>
        <v>13.351492077000003</v>
      </c>
      <c r="P376" s="195">
        <f t="shared" si="75"/>
        <v>2665.74</v>
      </c>
      <c r="Q376" s="194">
        <f t="shared" si="74"/>
        <v>734.9445179999999</v>
      </c>
      <c r="S376" s="80"/>
      <c r="T376" s="80"/>
    </row>
    <row r="377" spans="1:20" ht="13.5" thickBot="1">
      <c r="A377" s="903"/>
      <c r="B377" s="42">
        <v>10</v>
      </c>
      <c r="C377" s="535" t="s">
        <v>408</v>
      </c>
      <c r="D377" s="228">
        <v>5</v>
      </c>
      <c r="E377" s="228">
        <v>1938</v>
      </c>
      <c r="F377" s="477">
        <v>7.779</v>
      </c>
      <c r="G377" s="477">
        <v>0</v>
      </c>
      <c r="H377" s="477">
        <v>0</v>
      </c>
      <c r="I377" s="477">
        <v>7.779</v>
      </c>
      <c r="J377" s="484">
        <v>168.56</v>
      </c>
      <c r="K377" s="821">
        <v>7.779</v>
      </c>
      <c r="L377" s="484">
        <v>168.56</v>
      </c>
      <c r="M377" s="536">
        <v>0.046149</v>
      </c>
      <c r="N377" s="469">
        <v>275.7</v>
      </c>
      <c r="O377" s="470">
        <f t="shared" si="67"/>
        <v>13.868374437</v>
      </c>
      <c r="P377" s="470">
        <f t="shared" si="75"/>
        <v>2768.94</v>
      </c>
      <c r="Q377" s="471">
        <f t="shared" si="74"/>
        <v>763.396758</v>
      </c>
      <c r="S377" s="80"/>
      <c r="T377" s="80"/>
    </row>
    <row r="378" spans="19:20" ht="12.75">
      <c r="S378" s="80"/>
      <c r="T378" s="80"/>
    </row>
    <row r="379" spans="19:20" ht="12.75">
      <c r="S379" s="80"/>
      <c r="T379" s="80"/>
    </row>
    <row r="380" spans="19:20" ht="12.75">
      <c r="S380" s="80"/>
      <c r="T380" s="80"/>
    </row>
    <row r="381" spans="19:20" ht="12.75">
      <c r="S381" s="80"/>
      <c r="T381" s="80"/>
    </row>
    <row r="382" spans="1:20" ht="15">
      <c r="A382" s="907" t="s">
        <v>62</v>
      </c>
      <c r="B382" s="907"/>
      <c r="C382" s="907"/>
      <c r="D382" s="907"/>
      <c r="E382" s="907"/>
      <c r="F382" s="907"/>
      <c r="G382" s="907"/>
      <c r="H382" s="907"/>
      <c r="I382" s="907"/>
      <c r="J382" s="907"/>
      <c r="K382" s="907"/>
      <c r="L382" s="907"/>
      <c r="M382" s="907"/>
      <c r="N382" s="907"/>
      <c r="O382" s="907"/>
      <c r="P382" s="907"/>
      <c r="Q382" s="907"/>
      <c r="S382" s="80"/>
      <c r="T382" s="80"/>
    </row>
    <row r="383" spans="1:20" ht="13.5" thickBot="1">
      <c r="A383" s="894" t="s">
        <v>409</v>
      </c>
      <c r="B383" s="894"/>
      <c r="C383" s="894"/>
      <c r="D383" s="894"/>
      <c r="E383" s="894"/>
      <c r="F383" s="894"/>
      <c r="G383" s="894"/>
      <c r="H383" s="894"/>
      <c r="I383" s="894"/>
      <c r="J383" s="894"/>
      <c r="K383" s="894"/>
      <c r="L383" s="894"/>
      <c r="M383" s="894"/>
      <c r="N383" s="894"/>
      <c r="O383" s="894"/>
      <c r="P383" s="894"/>
      <c r="Q383" s="894"/>
      <c r="S383" s="80"/>
      <c r="T383" s="80"/>
    </row>
    <row r="384" spans="1:20" ht="12.75" customHeight="1">
      <c r="A384" s="885" t="s">
        <v>1</v>
      </c>
      <c r="B384" s="908" t="s">
        <v>0</v>
      </c>
      <c r="C384" s="880" t="s">
        <v>2</v>
      </c>
      <c r="D384" s="880" t="s">
        <v>3</v>
      </c>
      <c r="E384" s="880" t="s">
        <v>13</v>
      </c>
      <c r="F384" s="911" t="s">
        <v>14</v>
      </c>
      <c r="G384" s="912"/>
      <c r="H384" s="912"/>
      <c r="I384" s="913"/>
      <c r="J384" s="880" t="s">
        <v>4</v>
      </c>
      <c r="K384" s="880" t="s">
        <v>15</v>
      </c>
      <c r="L384" s="880" t="s">
        <v>5</v>
      </c>
      <c r="M384" s="880" t="s">
        <v>6</v>
      </c>
      <c r="N384" s="880" t="s">
        <v>16</v>
      </c>
      <c r="O384" s="892" t="s">
        <v>17</v>
      </c>
      <c r="P384" s="880" t="s">
        <v>25</v>
      </c>
      <c r="Q384" s="890" t="s">
        <v>26</v>
      </c>
      <c r="S384" s="80"/>
      <c r="T384" s="80"/>
    </row>
    <row r="385" spans="1:20" s="2" customFormat="1" ht="33.75">
      <c r="A385" s="886"/>
      <c r="B385" s="909"/>
      <c r="C385" s="888"/>
      <c r="D385" s="881"/>
      <c r="E385" s="881"/>
      <c r="F385" s="36" t="s">
        <v>18</v>
      </c>
      <c r="G385" s="36" t="s">
        <v>19</v>
      </c>
      <c r="H385" s="36" t="s">
        <v>20</v>
      </c>
      <c r="I385" s="36" t="s">
        <v>21</v>
      </c>
      <c r="J385" s="881"/>
      <c r="K385" s="881"/>
      <c r="L385" s="881"/>
      <c r="M385" s="881"/>
      <c r="N385" s="881"/>
      <c r="O385" s="893"/>
      <c r="P385" s="881"/>
      <c r="Q385" s="891"/>
      <c r="S385" s="80"/>
      <c r="T385" s="80"/>
    </row>
    <row r="386" spans="1:20" s="3" customFormat="1" ht="13.5" customHeight="1" thickBot="1">
      <c r="A386" s="886"/>
      <c r="B386" s="909"/>
      <c r="C386" s="889"/>
      <c r="D386" s="52" t="s">
        <v>7</v>
      </c>
      <c r="E386" s="52" t="s">
        <v>8</v>
      </c>
      <c r="F386" s="52" t="s">
        <v>9</v>
      </c>
      <c r="G386" s="52" t="s">
        <v>9</v>
      </c>
      <c r="H386" s="52" t="s">
        <v>9</v>
      </c>
      <c r="I386" s="52" t="s">
        <v>9</v>
      </c>
      <c r="J386" s="52" t="s">
        <v>22</v>
      </c>
      <c r="K386" s="52" t="s">
        <v>9</v>
      </c>
      <c r="L386" s="52" t="s">
        <v>22</v>
      </c>
      <c r="M386" s="52" t="s">
        <v>23</v>
      </c>
      <c r="N386" s="52" t="s">
        <v>10</v>
      </c>
      <c r="O386" s="52" t="s">
        <v>24</v>
      </c>
      <c r="P386" s="53" t="s">
        <v>27</v>
      </c>
      <c r="Q386" s="54" t="s">
        <v>28</v>
      </c>
      <c r="S386" s="80"/>
      <c r="T386" s="80"/>
    </row>
    <row r="387" spans="1:20" ht="11.25" customHeight="1">
      <c r="A387" s="882" t="s">
        <v>29</v>
      </c>
      <c r="B387" s="33">
        <v>1</v>
      </c>
      <c r="C387" s="34" t="s">
        <v>410</v>
      </c>
      <c r="D387" s="35">
        <v>52</v>
      </c>
      <c r="E387" s="119">
        <v>1973</v>
      </c>
      <c r="F387" s="252">
        <v>43.674969</v>
      </c>
      <c r="G387" s="252">
        <v>3.839943</v>
      </c>
      <c r="H387" s="252">
        <v>8.01</v>
      </c>
      <c r="I387" s="252">
        <v>31.825026</v>
      </c>
      <c r="J387" s="113">
        <v>2742.01</v>
      </c>
      <c r="K387" s="136">
        <v>28.124056</v>
      </c>
      <c r="L387" s="113">
        <v>2624.91</v>
      </c>
      <c r="M387" s="136">
        <f>K387/L387</f>
        <v>0.010714293442441836</v>
      </c>
      <c r="N387" s="137">
        <v>249</v>
      </c>
      <c r="O387" s="137">
        <f>M387*N387</f>
        <v>2.6678590671680174</v>
      </c>
      <c r="P387" s="137">
        <f>M387*60*1000</f>
        <v>642.8576065465102</v>
      </c>
      <c r="Q387" s="406">
        <f>P387*N387/1000</f>
        <v>160.07154403008104</v>
      </c>
      <c r="S387" s="80"/>
      <c r="T387" s="80"/>
    </row>
    <row r="388" spans="1:20" ht="12.75" customHeight="1">
      <c r="A388" s="883"/>
      <c r="B388" s="35">
        <v>2</v>
      </c>
      <c r="C388" s="34" t="s">
        <v>411</v>
      </c>
      <c r="D388" s="35">
        <v>30</v>
      </c>
      <c r="E388" s="119">
        <v>1987</v>
      </c>
      <c r="F388" s="248">
        <v>25.465992</v>
      </c>
      <c r="G388" s="248">
        <v>2.678367</v>
      </c>
      <c r="H388" s="248">
        <v>4.8</v>
      </c>
      <c r="I388" s="248">
        <v>17.987625</v>
      </c>
      <c r="J388" s="110">
        <v>1510.61</v>
      </c>
      <c r="K388" s="128">
        <v>16.895247</v>
      </c>
      <c r="L388" s="110">
        <v>1454.73</v>
      </c>
      <c r="M388" s="128">
        <f>K388/L388</f>
        <v>0.011614008785135386</v>
      </c>
      <c r="N388" s="127">
        <v>249</v>
      </c>
      <c r="O388" s="127">
        <f>M388*N388</f>
        <v>2.891888187498711</v>
      </c>
      <c r="P388" s="127">
        <f>M388*60*1000</f>
        <v>696.8405271081232</v>
      </c>
      <c r="Q388" s="155">
        <f>P388*N388/1000</f>
        <v>173.51329124992267</v>
      </c>
      <c r="S388" s="80"/>
      <c r="T388" s="80"/>
    </row>
    <row r="389" spans="1:20" ht="12.75" customHeight="1">
      <c r="A389" s="883"/>
      <c r="B389" s="35">
        <v>3</v>
      </c>
      <c r="C389" s="34" t="s">
        <v>412</v>
      </c>
      <c r="D389" s="35">
        <v>34</v>
      </c>
      <c r="E389" s="119">
        <v>1973</v>
      </c>
      <c r="F389" s="248">
        <v>29.291981</v>
      </c>
      <c r="G389" s="248">
        <v>2.360331</v>
      </c>
      <c r="H389" s="248">
        <v>5.14</v>
      </c>
      <c r="I389" s="248">
        <v>21.79165</v>
      </c>
      <c r="J389" s="110">
        <v>1758.4</v>
      </c>
      <c r="K389" s="128">
        <v>21.791666</v>
      </c>
      <c r="L389" s="110">
        <v>1758.4</v>
      </c>
      <c r="M389" s="128">
        <f>K389/L389</f>
        <v>0.012392894676979072</v>
      </c>
      <c r="N389" s="127">
        <v>249</v>
      </c>
      <c r="O389" s="127">
        <f>M389*N389</f>
        <v>3.0858307745677886</v>
      </c>
      <c r="P389" s="127">
        <f>M389*60*1000</f>
        <v>743.5736806187443</v>
      </c>
      <c r="Q389" s="155">
        <f>P389*N389/1000</f>
        <v>185.14984647406735</v>
      </c>
      <c r="S389" s="80"/>
      <c r="T389" s="80"/>
    </row>
    <row r="390" spans="1:20" ht="12.75" customHeight="1">
      <c r="A390" s="883"/>
      <c r="B390" s="35">
        <v>4</v>
      </c>
      <c r="C390" s="34" t="s">
        <v>413</v>
      </c>
      <c r="D390" s="35">
        <v>12</v>
      </c>
      <c r="E390" s="119">
        <v>1963</v>
      </c>
      <c r="F390" s="248">
        <v>10.702992</v>
      </c>
      <c r="G390" s="248">
        <v>0.758676</v>
      </c>
      <c r="H390" s="248">
        <v>1.92</v>
      </c>
      <c r="I390" s="248">
        <v>8.024316</v>
      </c>
      <c r="J390" s="110">
        <v>528.5</v>
      </c>
      <c r="K390" s="128">
        <v>8.024323</v>
      </c>
      <c r="L390" s="110">
        <v>528.5</v>
      </c>
      <c r="M390" s="128">
        <f>K390/L390</f>
        <v>0.01518320340586566</v>
      </c>
      <c r="N390" s="127">
        <v>249</v>
      </c>
      <c r="O390" s="127">
        <f>M390*N390</f>
        <v>3.780617648060549</v>
      </c>
      <c r="P390" s="127">
        <f>M390*60*1000</f>
        <v>910.9922043519396</v>
      </c>
      <c r="Q390" s="155">
        <f>P390*N390/1000</f>
        <v>226.83705888363295</v>
      </c>
      <c r="S390" s="80"/>
      <c r="T390" s="80"/>
    </row>
    <row r="391" spans="1:20" ht="12.75" customHeight="1">
      <c r="A391" s="883"/>
      <c r="B391" s="35">
        <v>5</v>
      </c>
      <c r="C391" s="34" t="s">
        <v>414</v>
      </c>
      <c r="D391" s="35">
        <v>32</v>
      </c>
      <c r="E391" s="119">
        <v>1977</v>
      </c>
      <c r="F391" s="248">
        <v>42.722985</v>
      </c>
      <c r="G391" s="248">
        <v>2.32203</v>
      </c>
      <c r="H391" s="248">
        <v>7.04</v>
      </c>
      <c r="I391" s="248">
        <v>33.360955</v>
      </c>
      <c r="J391" s="110">
        <v>1794.45</v>
      </c>
      <c r="K391" s="128">
        <v>33.360969</v>
      </c>
      <c r="L391" s="110">
        <v>1794.45</v>
      </c>
      <c r="M391" s="128">
        <f>K391/L391</f>
        <v>0.018591194516425644</v>
      </c>
      <c r="N391" s="127">
        <v>249</v>
      </c>
      <c r="O391" s="127">
        <f>M391*N391</f>
        <v>4.629207434589985</v>
      </c>
      <c r="P391" s="127">
        <f>M391*60*1000</f>
        <v>1115.4716709855386</v>
      </c>
      <c r="Q391" s="155">
        <f>P391*N391/1000</f>
        <v>277.7524460753991</v>
      </c>
      <c r="S391" s="80"/>
      <c r="T391" s="80"/>
    </row>
    <row r="392" spans="1:20" ht="12.75" customHeight="1">
      <c r="A392" s="883"/>
      <c r="B392" s="35">
        <v>6</v>
      </c>
      <c r="C392" s="34"/>
      <c r="D392" s="35"/>
      <c r="E392" s="119"/>
      <c r="F392" s="248"/>
      <c r="G392" s="248"/>
      <c r="H392" s="248"/>
      <c r="I392" s="248"/>
      <c r="J392" s="110"/>
      <c r="K392" s="128"/>
      <c r="L392" s="110"/>
      <c r="M392" s="128"/>
      <c r="N392" s="127"/>
      <c r="O392" s="127"/>
      <c r="P392" s="127"/>
      <c r="Q392" s="155"/>
      <c r="S392" s="80"/>
      <c r="T392" s="80"/>
    </row>
    <row r="393" spans="1:20" ht="12.75" customHeight="1">
      <c r="A393" s="883"/>
      <c r="B393" s="35">
        <v>7</v>
      </c>
      <c r="C393" s="34"/>
      <c r="D393" s="129"/>
      <c r="E393" s="812"/>
      <c r="F393" s="328"/>
      <c r="G393" s="328"/>
      <c r="H393" s="328"/>
      <c r="I393" s="328"/>
      <c r="J393" s="329"/>
      <c r="K393" s="813"/>
      <c r="L393" s="329"/>
      <c r="M393" s="129"/>
      <c r="N393" s="129"/>
      <c r="O393" s="130"/>
      <c r="P393" s="130"/>
      <c r="Q393" s="131"/>
      <c r="S393" s="80"/>
      <c r="T393" s="80"/>
    </row>
    <row r="394" spans="1:20" ht="16.5" customHeight="1" thickBot="1">
      <c r="A394" s="884"/>
      <c r="B394" s="83"/>
      <c r="C394" s="82"/>
      <c r="D394" s="83"/>
      <c r="E394" s="302"/>
      <c r="F394" s="250"/>
      <c r="G394" s="250"/>
      <c r="H394" s="250"/>
      <c r="I394" s="250"/>
      <c r="J394" s="171"/>
      <c r="K394" s="205"/>
      <c r="L394" s="171"/>
      <c r="M394" s="205"/>
      <c r="N394" s="158"/>
      <c r="O394" s="158"/>
      <c r="P394" s="158"/>
      <c r="Q394" s="159"/>
      <c r="S394" s="80"/>
      <c r="T394" s="80"/>
    </row>
    <row r="395" spans="1:20" ht="12.75">
      <c r="A395" s="1003" t="s">
        <v>30</v>
      </c>
      <c r="B395" s="218">
        <v>1</v>
      </c>
      <c r="C395" s="254" t="s">
        <v>415</v>
      </c>
      <c r="D395" s="218">
        <v>45</v>
      </c>
      <c r="E395" s="264">
        <v>1972</v>
      </c>
      <c r="F395" s="325">
        <v>59.701001</v>
      </c>
      <c r="G395" s="325">
        <v>3.3405</v>
      </c>
      <c r="H395" s="325">
        <v>7.2</v>
      </c>
      <c r="I395" s="325">
        <v>49.160501</v>
      </c>
      <c r="J395" s="331">
        <v>1840.92</v>
      </c>
      <c r="K395" s="268">
        <v>49.160501</v>
      </c>
      <c r="L395" s="331">
        <v>1840.92</v>
      </c>
      <c r="M395" s="268">
        <f>K395/L395</f>
        <v>0.0267043114312409</v>
      </c>
      <c r="N395" s="267">
        <v>249</v>
      </c>
      <c r="O395" s="267">
        <f>M395*N395</f>
        <v>6.649373546378984</v>
      </c>
      <c r="P395" s="267">
        <f>M395*60*1000</f>
        <v>1602.258685874454</v>
      </c>
      <c r="Q395" s="269">
        <f>P395*N395/1000</f>
        <v>398.962412782739</v>
      </c>
      <c r="S395" s="80"/>
      <c r="T395" s="80"/>
    </row>
    <row r="396" spans="1:20" ht="12.75">
      <c r="A396" s="939"/>
      <c r="B396" s="219">
        <v>2</v>
      </c>
      <c r="C396" s="256" t="s">
        <v>419</v>
      </c>
      <c r="D396" s="219">
        <v>27</v>
      </c>
      <c r="E396" s="265">
        <v>1969</v>
      </c>
      <c r="F396" s="270">
        <v>47.035</v>
      </c>
      <c r="G396" s="270">
        <v>1.44228</v>
      </c>
      <c r="H396" s="270">
        <v>4</v>
      </c>
      <c r="I396" s="270">
        <v>41.59272</v>
      </c>
      <c r="J396" s="261">
        <v>1664.94</v>
      </c>
      <c r="K396" s="272">
        <v>24.15894</v>
      </c>
      <c r="L396" s="261">
        <v>902.67</v>
      </c>
      <c r="M396" s="272">
        <f>K396/L396</f>
        <v>0.026763867193991164</v>
      </c>
      <c r="N396" s="271">
        <v>249</v>
      </c>
      <c r="O396" s="271">
        <f>M396*N396</f>
        <v>6.6642029313038</v>
      </c>
      <c r="P396" s="271">
        <f>M396*60*1000</f>
        <v>1605.83203163947</v>
      </c>
      <c r="Q396" s="273">
        <f>P396*N396/1000</f>
        <v>399.852175878228</v>
      </c>
      <c r="S396" s="80"/>
      <c r="T396" s="80"/>
    </row>
    <row r="397" spans="1:20" ht="12.75">
      <c r="A397" s="939"/>
      <c r="B397" s="219">
        <v>3</v>
      </c>
      <c r="C397" s="256" t="s">
        <v>420</v>
      </c>
      <c r="D397" s="219">
        <v>24</v>
      </c>
      <c r="E397" s="265">
        <v>1965</v>
      </c>
      <c r="F397" s="270">
        <v>38.702999</v>
      </c>
      <c r="G397" s="270">
        <v>3.8352</v>
      </c>
      <c r="H397" s="270">
        <v>3.84</v>
      </c>
      <c r="I397" s="270">
        <v>31.027799</v>
      </c>
      <c r="J397" s="261">
        <v>1116.83</v>
      </c>
      <c r="K397" s="272">
        <v>27.28306</v>
      </c>
      <c r="L397" s="261">
        <v>982.04</v>
      </c>
      <c r="M397" s="272">
        <f>K397/L397</f>
        <v>0.02778202517209075</v>
      </c>
      <c r="N397" s="271">
        <v>249</v>
      </c>
      <c r="O397" s="271">
        <f>M397*N397</f>
        <v>6.917724267850597</v>
      </c>
      <c r="P397" s="271">
        <f>M397*60*1000</f>
        <v>1666.9215103254448</v>
      </c>
      <c r="Q397" s="273">
        <f>P397*N397/1000</f>
        <v>415.0634560710358</v>
      </c>
      <c r="S397" s="80"/>
      <c r="T397" s="80"/>
    </row>
    <row r="398" spans="1:20" ht="12.75">
      <c r="A398" s="939"/>
      <c r="B398" s="219">
        <v>4</v>
      </c>
      <c r="C398" s="256" t="s">
        <v>416</v>
      </c>
      <c r="D398" s="219">
        <v>28</v>
      </c>
      <c r="E398" s="265">
        <v>1963</v>
      </c>
      <c r="F398" s="270">
        <v>37.255998</v>
      </c>
      <c r="G398" s="270">
        <v>1.989</v>
      </c>
      <c r="H398" s="270">
        <v>0</v>
      </c>
      <c r="I398" s="270">
        <v>35.266998</v>
      </c>
      <c r="J398" s="261">
        <v>1271.76</v>
      </c>
      <c r="K398" s="272">
        <v>21.136222</v>
      </c>
      <c r="L398" s="261">
        <v>731.33</v>
      </c>
      <c r="M398" s="272">
        <f>K398/L398</f>
        <v>0.028901073386843147</v>
      </c>
      <c r="N398" s="271">
        <v>249</v>
      </c>
      <c r="O398" s="271">
        <f>M398*N398</f>
        <v>7.196367273323943</v>
      </c>
      <c r="P398" s="271">
        <f>M398*60*1000</f>
        <v>1734.0644032105888</v>
      </c>
      <c r="Q398" s="273">
        <f>P398*N398/1000</f>
        <v>431.7820363994366</v>
      </c>
      <c r="S398" s="80"/>
      <c r="T398" s="80"/>
    </row>
    <row r="399" spans="1:20" ht="12.75">
      <c r="A399" s="939"/>
      <c r="B399" s="219">
        <v>5</v>
      </c>
      <c r="C399" s="256" t="s">
        <v>421</v>
      </c>
      <c r="D399" s="219">
        <v>9</v>
      </c>
      <c r="E399" s="265">
        <v>1968</v>
      </c>
      <c r="F399" s="270">
        <v>14.225001</v>
      </c>
      <c r="G399" s="270">
        <v>0.612</v>
      </c>
      <c r="H399" s="270">
        <v>1.44</v>
      </c>
      <c r="I399" s="270">
        <v>12.173001</v>
      </c>
      <c r="J399" s="261">
        <v>412.22</v>
      </c>
      <c r="K399" s="272">
        <v>12.173001</v>
      </c>
      <c r="L399" s="261">
        <v>412.22</v>
      </c>
      <c r="M399" s="272">
        <f>K399/L399</f>
        <v>0.029530350298384356</v>
      </c>
      <c r="N399" s="271">
        <v>249</v>
      </c>
      <c r="O399" s="271">
        <f>M399*N399</f>
        <v>7.353057224297705</v>
      </c>
      <c r="P399" s="271">
        <f>M399*60*1000</f>
        <v>1771.8210179030614</v>
      </c>
      <c r="Q399" s="273">
        <f>P399*N399/1000</f>
        <v>441.1834334578623</v>
      </c>
      <c r="S399" s="80"/>
      <c r="T399" s="80"/>
    </row>
    <row r="400" spans="1:20" ht="12.75">
      <c r="A400" s="939"/>
      <c r="B400" s="219">
        <v>6</v>
      </c>
      <c r="C400" s="727"/>
      <c r="D400" s="219"/>
      <c r="E400" s="265"/>
      <c r="F400" s="270"/>
      <c r="G400" s="270"/>
      <c r="H400" s="270"/>
      <c r="I400" s="270"/>
      <c r="J400" s="261"/>
      <c r="K400" s="272"/>
      <c r="L400" s="261"/>
      <c r="M400" s="219"/>
      <c r="N400" s="219"/>
      <c r="O400" s="219"/>
      <c r="P400" s="219"/>
      <c r="Q400" s="868"/>
      <c r="S400" s="80"/>
      <c r="T400" s="80"/>
    </row>
    <row r="401" spans="1:20" ht="12.75">
      <c r="A401" s="939"/>
      <c r="B401" s="219">
        <v>7</v>
      </c>
      <c r="C401" s="256"/>
      <c r="D401" s="219"/>
      <c r="E401" s="265"/>
      <c r="F401" s="270"/>
      <c r="G401" s="270"/>
      <c r="H401" s="270"/>
      <c r="I401" s="270"/>
      <c r="J401" s="261"/>
      <c r="K401" s="272"/>
      <c r="L401" s="261"/>
      <c r="M401" s="272"/>
      <c r="N401" s="271"/>
      <c r="O401" s="271"/>
      <c r="P401" s="271"/>
      <c r="Q401" s="273"/>
      <c r="S401" s="80"/>
      <c r="T401" s="80"/>
    </row>
    <row r="402" spans="1:20" ht="13.5" thickBot="1">
      <c r="A402" s="941"/>
      <c r="B402" s="232">
        <v>8</v>
      </c>
      <c r="C402" s="258"/>
      <c r="D402" s="232"/>
      <c r="E402" s="266"/>
      <c r="F402" s="274"/>
      <c r="G402" s="274"/>
      <c r="H402" s="274"/>
      <c r="I402" s="274"/>
      <c r="J402" s="263"/>
      <c r="K402" s="276"/>
      <c r="L402" s="263"/>
      <c r="M402" s="276"/>
      <c r="N402" s="275"/>
      <c r="O402" s="275"/>
      <c r="P402" s="275"/>
      <c r="Q402" s="277"/>
      <c r="S402" s="80"/>
      <c r="T402" s="80"/>
    </row>
    <row r="403" spans="1:20" ht="12.75">
      <c r="A403" s="901" t="s">
        <v>12</v>
      </c>
      <c r="B403" s="38">
        <v>1</v>
      </c>
      <c r="C403" s="700" t="s">
        <v>417</v>
      </c>
      <c r="D403" s="699">
        <v>36</v>
      </c>
      <c r="E403" s="699">
        <v>1972</v>
      </c>
      <c r="F403" s="294">
        <v>53.882999</v>
      </c>
      <c r="G403" s="294">
        <v>2.855898</v>
      </c>
      <c r="H403" s="294">
        <v>5.76</v>
      </c>
      <c r="I403" s="294">
        <v>45.267101</v>
      </c>
      <c r="J403" s="332">
        <v>1516.82</v>
      </c>
      <c r="K403" s="283">
        <v>43.61676</v>
      </c>
      <c r="L403" s="332">
        <v>1461.52</v>
      </c>
      <c r="M403" s="283">
        <f aca="true" t="shared" si="76" ref="M403:M408">K403/L403</f>
        <v>0.02984342328534676</v>
      </c>
      <c r="N403" s="284">
        <v>249</v>
      </c>
      <c r="O403" s="284">
        <f aca="true" t="shared" si="77" ref="O403:O408">M403*N403</f>
        <v>7.431012398051344</v>
      </c>
      <c r="P403" s="284">
        <f aca="true" t="shared" si="78" ref="P403:P408">M403*60*1000</f>
        <v>1790.6053971208055</v>
      </c>
      <c r="Q403" s="285">
        <f aca="true" t="shared" si="79" ref="Q403:Q408">P403*N403/1000</f>
        <v>445.86074388308054</v>
      </c>
      <c r="S403" s="80"/>
      <c r="T403" s="80"/>
    </row>
    <row r="404" spans="1:20" ht="12.75">
      <c r="A404" s="902"/>
      <c r="B404" s="40">
        <v>2</v>
      </c>
      <c r="C404" s="45" t="s">
        <v>418</v>
      </c>
      <c r="D404" s="40">
        <v>40</v>
      </c>
      <c r="E404" s="39">
        <v>1978</v>
      </c>
      <c r="F404" s="295">
        <v>74.919003</v>
      </c>
      <c r="G404" s="295">
        <v>4.576026</v>
      </c>
      <c r="H404" s="295">
        <v>6.4</v>
      </c>
      <c r="I404" s="295">
        <v>63.942977</v>
      </c>
      <c r="J404" s="297">
        <v>2108.1</v>
      </c>
      <c r="K404" s="289">
        <v>63.942977</v>
      </c>
      <c r="L404" s="297">
        <v>2108.1</v>
      </c>
      <c r="M404" s="289">
        <f t="shared" si="76"/>
        <v>0.03033204164887814</v>
      </c>
      <c r="N404" s="290">
        <v>249</v>
      </c>
      <c r="O404" s="290">
        <f t="shared" si="77"/>
        <v>7.552678370570657</v>
      </c>
      <c r="P404" s="290">
        <f t="shared" si="78"/>
        <v>1819.9224989326883</v>
      </c>
      <c r="Q404" s="291">
        <f t="shared" si="79"/>
        <v>453.16070223423935</v>
      </c>
      <c r="S404" s="80"/>
      <c r="T404" s="80"/>
    </row>
    <row r="405" spans="1:20" ht="12.75">
      <c r="A405" s="902"/>
      <c r="B405" s="40">
        <v>3</v>
      </c>
      <c r="C405" s="45" t="s">
        <v>422</v>
      </c>
      <c r="D405" s="40">
        <v>13</v>
      </c>
      <c r="E405" s="39">
        <v>1958</v>
      </c>
      <c r="F405" s="295">
        <v>23.446001</v>
      </c>
      <c r="G405" s="295">
        <v>0.6885</v>
      </c>
      <c r="H405" s="295">
        <v>1.45</v>
      </c>
      <c r="I405" s="295">
        <v>21.307501</v>
      </c>
      <c r="J405" s="297">
        <v>693.99</v>
      </c>
      <c r="K405" s="289">
        <v>8.049684</v>
      </c>
      <c r="L405" s="297">
        <v>262.18</v>
      </c>
      <c r="M405" s="289">
        <f t="shared" si="76"/>
        <v>0.030702891143489203</v>
      </c>
      <c r="N405" s="290">
        <v>249</v>
      </c>
      <c r="O405" s="290">
        <f t="shared" si="77"/>
        <v>7.6450198947288115</v>
      </c>
      <c r="P405" s="290">
        <f t="shared" si="78"/>
        <v>1842.173468609352</v>
      </c>
      <c r="Q405" s="291">
        <f t="shared" si="79"/>
        <v>458.7011936837287</v>
      </c>
      <c r="S405" s="80"/>
      <c r="T405" s="80"/>
    </row>
    <row r="406" spans="1:20" ht="12.75">
      <c r="A406" s="902"/>
      <c r="B406" s="40">
        <v>4</v>
      </c>
      <c r="C406" s="45" t="s">
        <v>423</v>
      </c>
      <c r="D406" s="40">
        <v>25</v>
      </c>
      <c r="E406" s="39">
        <v>1964</v>
      </c>
      <c r="F406" s="295">
        <v>38.873</v>
      </c>
      <c r="G406" s="295">
        <v>0.277236</v>
      </c>
      <c r="H406" s="295">
        <v>3.84</v>
      </c>
      <c r="I406" s="295">
        <v>34.755764</v>
      </c>
      <c r="J406" s="297">
        <v>1114.29</v>
      </c>
      <c r="K406" s="289">
        <v>28.080588</v>
      </c>
      <c r="L406" s="297">
        <v>900.28</v>
      </c>
      <c r="M406" s="289">
        <f t="shared" si="76"/>
        <v>0.031190949482383257</v>
      </c>
      <c r="N406" s="290">
        <v>249</v>
      </c>
      <c r="O406" s="290">
        <f t="shared" si="77"/>
        <v>7.766546421113431</v>
      </c>
      <c r="P406" s="290">
        <f t="shared" si="78"/>
        <v>1871.4569689429954</v>
      </c>
      <c r="Q406" s="291">
        <f t="shared" si="79"/>
        <v>465.99278526680587</v>
      </c>
      <c r="S406" s="80"/>
      <c r="T406" s="80"/>
    </row>
    <row r="407" spans="1:20" ht="12.75">
      <c r="A407" s="902"/>
      <c r="B407" s="40">
        <v>5</v>
      </c>
      <c r="C407" s="45" t="s">
        <v>424</v>
      </c>
      <c r="D407" s="40">
        <v>47</v>
      </c>
      <c r="E407" s="39">
        <v>1981</v>
      </c>
      <c r="F407" s="295">
        <v>56.369999</v>
      </c>
      <c r="G407" s="295">
        <v>2.082075</v>
      </c>
      <c r="H407" s="295">
        <v>0.43</v>
      </c>
      <c r="I407" s="295">
        <v>53.857924</v>
      </c>
      <c r="J407" s="297">
        <v>1526.37</v>
      </c>
      <c r="K407" s="289">
        <v>52.643768</v>
      </c>
      <c r="L407" s="297">
        <v>1491.96</v>
      </c>
      <c r="M407" s="289">
        <f t="shared" si="76"/>
        <v>0.035284972787474195</v>
      </c>
      <c r="N407" s="290">
        <v>249</v>
      </c>
      <c r="O407" s="290">
        <f t="shared" si="77"/>
        <v>8.785958224081075</v>
      </c>
      <c r="P407" s="290">
        <f t="shared" si="78"/>
        <v>2117.0983672484517</v>
      </c>
      <c r="Q407" s="291">
        <f t="shared" si="79"/>
        <v>527.1574934448645</v>
      </c>
      <c r="S407" s="80"/>
      <c r="T407" s="80"/>
    </row>
    <row r="408" spans="1:20" ht="12.75">
      <c r="A408" s="902"/>
      <c r="B408" s="40">
        <v>6</v>
      </c>
      <c r="C408" s="45" t="s">
        <v>425</v>
      </c>
      <c r="D408" s="40">
        <v>18</v>
      </c>
      <c r="E408" s="39">
        <v>1967</v>
      </c>
      <c r="F408" s="295">
        <v>25.218002</v>
      </c>
      <c r="G408" s="295">
        <v>1.02</v>
      </c>
      <c r="H408" s="295">
        <v>0</v>
      </c>
      <c r="I408" s="295">
        <v>24.198002</v>
      </c>
      <c r="J408" s="297">
        <v>597.08</v>
      </c>
      <c r="K408" s="289">
        <v>24.198002</v>
      </c>
      <c r="L408" s="297">
        <v>597.08</v>
      </c>
      <c r="M408" s="289">
        <f t="shared" si="76"/>
        <v>0.04052723588128893</v>
      </c>
      <c r="N408" s="290">
        <v>249</v>
      </c>
      <c r="O408" s="290">
        <f t="shared" si="77"/>
        <v>10.091281734440944</v>
      </c>
      <c r="P408" s="290">
        <f t="shared" si="78"/>
        <v>2431.634152877336</v>
      </c>
      <c r="Q408" s="291">
        <f t="shared" si="79"/>
        <v>605.4769040664567</v>
      </c>
      <c r="S408" s="80"/>
      <c r="T408" s="80"/>
    </row>
    <row r="409" spans="1:20" ht="12.75">
      <c r="A409" s="902"/>
      <c r="B409" s="40">
        <v>7</v>
      </c>
      <c r="C409" s="728"/>
      <c r="D409" s="729"/>
      <c r="E409" s="729"/>
      <c r="F409" s="40"/>
      <c r="G409" s="40"/>
      <c r="H409" s="40"/>
      <c r="I409" s="40"/>
      <c r="J409" s="297"/>
      <c r="K409" s="40"/>
      <c r="L409" s="40"/>
      <c r="M409" s="40"/>
      <c r="N409" s="40"/>
      <c r="O409" s="40"/>
      <c r="P409" s="40"/>
      <c r="Q409" s="869"/>
      <c r="S409" s="80"/>
      <c r="T409" s="80"/>
    </row>
    <row r="410" spans="1:20" ht="13.5" thickBot="1">
      <c r="A410" s="903"/>
      <c r="B410" s="42">
        <v>8</v>
      </c>
      <c r="C410" s="46"/>
      <c r="D410" s="42"/>
      <c r="E410" s="42"/>
      <c r="F410" s="296"/>
      <c r="G410" s="296"/>
      <c r="H410" s="296"/>
      <c r="I410" s="296"/>
      <c r="J410" s="333"/>
      <c r="K410" s="296"/>
      <c r="L410" s="333"/>
      <c r="M410" s="286"/>
      <c r="N410" s="287"/>
      <c r="O410" s="287"/>
      <c r="P410" s="287"/>
      <c r="Q410" s="288"/>
      <c r="S410" s="80"/>
      <c r="T410" s="80"/>
    </row>
    <row r="411" spans="19:20" ht="12.75">
      <c r="S411" s="80"/>
      <c r="T411" s="80"/>
    </row>
    <row r="412" spans="19:20" ht="12.75">
      <c r="S412" s="80"/>
      <c r="T412" s="80"/>
    </row>
    <row r="413" spans="19:20" ht="12.75">
      <c r="S413" s="80"/>
      <c r="T413" s="80"/>
    </row>
    <row r="414" spans="19:20" ht="12.75">
      <c r="S414" s="80"/>
      <c r="T414" s="80"/>
    </row>
    <row r="415" spans="19:20" ht="12.75">
      <c r="S415" s="80"/>
      <c r="T415" s="80"/>
    </row>
    <row r="416" spans="19:20" ht="12.75">
      <c r="S416" s="80"/>
      <c r="T416" s="80"/>
    </row>
    <row r="417" spans="1:20" ht="15">
      <c r="A417" s="907" t="s">
        <v>63</v>
      </c>
      <c r="B417" s="907"/>
      <c r="C417" s="907"/>
      <c r="D417" s="907"/>
      <c r="E417" s="907"/>
      <c r="F417" s="907"/>
      <c r="G417" s="907"/>
      <c r="H417" s="907"/>
      <c r="I417" s="907"/>
      <c r="J417" s="907"/>
      <c r="K417" s="907"/>
      <c r="L417" s="907"/>
      <c r="M417" s="907"/>
      <c r="N417" s="907"/>
      <c r="O417" s="907"/>
      <c r="P417" s="907"/>
      <c r="Q417" s="907"/>
      <c r="S417" s="80"/>
      <c r="T417" s="80"/>
    </row>
    <row r="418" spans="1:20" ht="13.5" thickBot="1">
      <c r="A418" s="894" t="s">
        <v>299</v>
      </c>
      <c r="B418" s="894"/>
      <c r="C418" s="894"/>
      <c r="D418" s="894"/>
      <c r="E418" s="894"/>
      <c r="F418" s="894"/>
      <c r="G418" s="894"/>
      <c r="H418" s="894"/>
      <c r="I418" s="894"/>
      <c r="J418" s="894"/>
      <c r="K418" s="894"/>
      <c r="L418" s="894"/>
      <c r="M418" s="894"/>
      <c r="N418" s="894"/>
      <c r="O418" s="894"/>
      <c r="P418" s="894"/>
      <c r="Q418" s="894"/>
      <c r="S418" s="80"/>
      <c r="T418" s="80"/>
    </row>
    <row r="419" spans="1:20" ht="12.75" customHeight="1">
      <c r="A419" s="1022" t="s">
        <v>1</v>
      </c>
      <c r="B419" s="1025" t="s">
        <v>0</v>
      </c>
      <c r="C419" s="881" t="s">
        <v>2</v>
      </c>
      <c r="D419" s="881" t="s">
        <v>3</v>
      </c>
      <c r="E419" s="881" t="s">
        <v>13</v>
      </c>
      <c r="F419" s="1029" t="s">
        <v>14</v>
      </c>
      <c r="G419" s="1029"/>
      <c r="H419" s="1029"/>
      <c r="I419" s="1029"/>
      <c r="J419" s="881" t="s">
        <v>4</v>
      </c>
      <c r="K419" s="881" t="s">
        <v>15</v>
      </c>
      <c r="L419" s="881" t="s">
        <v>5</v>
      </c>
      <c r="M419" s="881" t="s">
        <v>6</v>
      </c>
      <c r="N419" s="881" t="s">
        <v>16</v>
      </c>
      <c r="O419" s="881" t="s">
        <v>17</v>
      </c>
      <c r="P419" s="881" t="s">
        <v>25</v>
      </c>
      <c r="Q419" s="891" t="s">
        <v>26</v>
      </c>
      <c r="S419" s="80"/>
      <c r="T419" s="80"/>
    </row>
    <row r="420" spans="1:20" s="2" customFormat="1" ht="33.75">
      <c r="A420" s="1023"/>
      <c r="B420" s="1026"/>
      <c r="C420" s="933"/>
      <c r="D420" s="933"/>
      <c r="E420" s="933"/>
      <c r="F420" s="36" t="s">
        <v>18</v>
      </c>
      <c r="G420" s="36" t="s">
        <v>19</v>
      </c>
      <c r="H420" s="36" t="s">
        <v>20</v>
      </c>
      <c r="I420" s="36" t="s">
        <v>21</v>
      </c>
      <c r="J420" s="933"/>
      <c r="K420" s="933"/>
      <c r="L420" s="933"/>
      <c r="M420" s="933"/>
      <c r="N420" s="933"/>
      <c r="O420" s="933"/>
      <c r="P420" s="933"/>
      <c r="Q420" s="1030"/>
      <c r="S420" s="80"/>
      <c r="T420" s="80"/>
    </row>
    <row r="421" spans="1:20" s="3" customFormat="1" ht="13.5" customHeight="1" thickBot="1">
      <c r="A421" s="1024"/>
      <c r="B421" s="1027"/>
      <c r="C421" s="1028"/>
      <c r="D421" s="52" t="s">
        <v>7</v>
      </c>
      <c r="E421" s="52" t="s">
        <v>8</v>
      </c>
      <c r="F421" s="52" t="s">
        <v>9</v>
      </c>
      <c r="G421" s="52" t="s">
        <v>9</v>
      </c>
      <c r="H421" s="52" t="s">
        <v>9</v>
      </c>
      <c r="I421" s="52" t="s">
        <v>9</v>
      </c>
      <c r="J421" s="52" t="s">
        <v>22</v>
      </c>
      <c r="K421" s="52" t="s">
        <v>9</v>
      </c>
      <c r="L421" s="52" t="s">
        <v>22</v>
      </c>
      <c r="M421" s="52" t="s">
        <v>23</v>
      </c>
      <c r="N421" s="52" t="s">
        <v>10</v>
      </c>
      <c r="O421" s="52" t="s">
        <v>24</v>
      </c>
      <c r="P421" s="52" t="s">
        <v>27</v>
      </c>
      <c r="Q421" s="54" t="s">
        <v>28</v>
      </c>
      <c r="S421" s="80"/>
      <c r="T421" s="80"/>
    </row>
    <row r="422" spans="1:20" ht="12.75">
      <c r="A422" s="1031" t="s">
        <v>11</v>
      </c>
      <c r="B422" s="30">
        <v>1</v>
      </c>
      <c r="C422" s="597" t="s">
        <v>426</v>
      </c>
      <c r="D422" s="189">
        <v>45</v>
      </c>
      <c r="E422" s="189">
        <v>1991</v>
      </c>
      <c r="F422" s="472">
        <f aca="true" t="shared" si="80" ref="F422:F461">G422+H422+I422</f>
        <v>29.44</v>
      </c>
      <c r="G422" s="472">
        <v>3.83</v>
      </c>
      <c r="H422" s="472">
        <v>6.24</v>
      </c>
      <c r="I422" s="472">
        <v>19.37</v>
      </c>
      <c r="J422" s="478">
        <v>2321.73</v>
      </c>
      <c r="K422" s="814">
        <v>19.37</v>
      </c>
      <c r="L422" s="478">
        <v>2321.73</v>
      </c>
      <c r="M422" s="448">
        <f aca="true" t="shared" si="81" ref="M422:M461">K422/L422</f>
        <v>0.00834291670435408</v>
      </c>
      <c r="N422" s="449">
        <v>315</v>
      </c>
      <c r="O422" s="450">
        <f aca="true" t="shared" si="82" ref="O422:O461">M422*N422</f>
        <v>2.6280187618715356</v>
      </c>
      <c r="P422" s="450">
        <f aca="true" t="shared" si="83" ref="P422:P461">M422*60*1000</f>
        <v>500.57500226124483</v>
      </c>
      <c r="Q422" s="451">
        <f aca="true" t="shared" si="84" ref="Q422:Q461">P422*N422/1000</f>
        <v>157.68112571229213</v>
      </c>
      <c r="R422" s="6"/>
      <c r="S422" s="80"/>
      <c r="T422" s="80"/>
    </row>
    <row r="423" spans="1:20" ht="12.75">
      <c r="A423" s="1032"/>
      <c r="B423" s="31">
        <v>2</v>
      </c>
      <c r="C423" s="598" t="s">
        <v>427</v>
      </c>
      <c r="D423" s="191">
        <v>44</v>
      </c>
      <c r="E423" s="191">
        <v>1975</v>
      </c>
      <c r="F423" s="348">
        <f t="shared" si="80"/>
        <v>30.509999999999998</v>
      </c>
      <c r="G423" s="348">
        <v>3.59</v>
      </c>
      <c r="H423" s="348">
        <v>7.04</v>
      </c>
      <c r="I423" s="348">
        <v>19.88</v>
      </c>
      <c r="J423" s="350">
        <v>2309.11</v>
      </c>
      <c r="K423" s="808">
        <v>19.88</v>
      </c>
      <c r="L423" s="350">
        <v>2309.11</v>
      </c>
      <c r="M423" s="143">
        <f t="shared" si="81"/>
        <v>0.008609377639003771</v>
      </c>
      <c r="N423" s="144">
        <v>315</v>
      </c>
      <c r="O423" s="437">
        <f t="shared" si="82"/>
        <v>2.711953956286188</v>
      </c>
      <c r="P423" s="437">
        <f t="shared" si="83"/>
        <v>516.5626583402263</v>
      </c>
      <c r="Q423" s="145">
        <f t="shared" si="84"/>
        <v>162.7172373771713</v>
      </c>
      <c r="S423" s="80"/>
      <c r="T423" s="80"/>
    </row>
    <row r="424" spans="1:20" ht="12.75">
      <c r="A424" s="1032"/>
      <c r="B424" s="31">
        <v>3</v>
      </c>
      <c r="C424" s="598" t="s">
        <v>428</v>
      </c>
      <c r="D424" s="191">
        <v>45</v>
      </c>
      <c r="E424" s="191">
        <v>1975</v>
      </c>
      <c r="F424" s="348">
        <f t="shared" si="80"/>
        <v>30.98</v>
      </c>
      <c r="G424" s="348">
        <v>3.71</v>
      </c>
      <c r="H424" s="348">
        <v>7.2</v>
      </c>
      <c r="I424" s="348">
        <v>20.07</v>
      </c>
      <c r="J424" s="350">
        <v>2325.22</v>
      </c>
      <c r="K424" s="808">
        <v>20.07</v>
      </c>
      <c r="L424" s="350">
        <v>2325.22</v>
      </c>
      <c r="M424" s="143">
        <f t="shared" si="81"/>
        <v>0.00863144132598206</v>
      </c>
      <c r="N424" s="144">
        <v>315</v>
      </c>
      <c r="O424" s="437">
        <f t="shared" si="82"/>
        <v>2.7189040176843484</v>
      </c>
      <c r="P424" s="437">
        <f t="shared" si="83"/>
        <v>517.8864795589235</v>
      </c>
      <c r="Q424" s="145">
        <f t="shared" si="84"/>
        <v>163.1342410610609</v>
      </c>
      <c r="S424" s="80"/>
      <c r="T424" s="80"/>
    </row>
    <row r="425" spans="1:20" ht="12.75">
      <c r="A425" s="1032"/>
      <c r="B425" s="31">
        <v>4</v>
      </c>
      <c r="C425" s="598" t="s">
        <v>429</v>
      </c>
      <c r="D425" s="191">
        <v>39</v>
      </c>
      <c r="E425" s="191">
        <v>1985</v>
      </c>
      <c r="F425" s="348">
        <f t="shared" si="80"/>
        <v>30.96</v>
      </c>
      <c r="G425" s="348">
        <v>4.34</v>
      </c>
      <c r="H425" s="348">
        <v>6.32</v>
      </c>
      <c r="I425" s="348">
        <v>20.3</v>
      </c>
      <c r="J425" s="350">
        <v>2285.27</v>
      </c>
      <c r="K425" s="808">
        <v>20.3</v>
      </c>
      <c r="L425" s="350">
        <v>2285.27</v>
      </c>
      <c r="M425" s="143">
        <f t="shared" si="81"/>
        <v>0.008882976628582182</v>
      </c>
      <c r="N425" s="144">
        <v>315</v>
      </c>
      <c r="O425" s="437">
        <f t="shared" si="82"/>
        <v>2.798137638003387</v>
      </c>
      <c r="P425" s="437">
        <f t="shared" si="83"/>
        <v>532.978597714931</v>
      </c>
      <c r="Q425" s="145">
        <f t="shared" si="84"/>
        <v>167.88825828020325</v>
      </c>
      <c r="S425" s="80"/>
      <c r="T425" s="80"/>
    </row>
    <row r="426" spans="1:20" ht="12.75">
      <c r="A426" s="1032"/>
      <c r="B426" s="31">
        <v>5</v>
      </c>
      <c r="C426" s="598" t="s">
        <v>430</v>
      </c>
      <c r="D426" s="191">
        <v>27</v>
      </c>
      <c r="E426" s="191">
        <v>1995</v>
      </c>
      <c r="F426" s="348">
        <f t="shared" si="80"/>
        <v>38.08</v>
      </c>
      <c r="G426" s="348">
        <v>3.66</v>
      </c>
      <c r="H426" s="348">
        <v>4.32</v>
      </c>
      <c r="I426" s="348">
        <v>30.1</v>
      </c>
      <c r="J426" s="350">
        <v>2197.01</v>
      </c>
      <c r="K426" s="808">
        <v>30.1</v>
      </c>
      <c r="L426" s="350">
        <v>1680.78</v>
      </c>
      <c r="M426" s="143">
        <f t="shared" si="81"/>
        <v>0.017908352074632018</v>
      </c>
      <c r="N426" s="144">
        <v>315</v>
      </c>
      <c r="O426" s="437">
        <f t="shared" si="82"/>
        <v>5.641130903509086</v>
      </c>
      <c r="P426" s="437">
        <f t="shared" si="83"/>
        <v>1074.501124477921</v>
      </c>
      <c r="Q426" s="145">
        <f t="shared" si="84"/>
        <v>338.46785421054506</v>
      </c>
      <c r="S426" s="80"/>
      <c r="T426" s="80"/>
    </row>
    <row r="427" spans="1:20" ht="12.75">
      <c r="A427" s="1032"/>
      <c r="B427" s="31">
        <v>6</v>
      </c>
      <c r="C427" s="598" t="s">
        <v>431</v>
      </c>
      <c r="D427" s="191">
        <v>45</v>
      </c>
      <c r="E427" s="191">
        <v>1981</v>
      </c>
      <c r="F427" s="348">
        <f t="shared" si="80"/>
        <v>58.9</v>
      </c>
      <c r="G427" s="348">
        <v>7.87</v>
      </c>
      <c r="H427" s="348">
        <v>7.2</v>
      </c>
      <c r="I427" s="348">
        <v>43.83</v>
      </c>
      <c r="J427" s="350">
        <v>2323.16</v>
      </c>
      <c r="K427" s="808">
        <v>43.83</v>
      </c>
      <c r="L427" s="350">
        <v>2323.16</v>
      </c>
      <c r="M427" s="143">
        <f t="shared" si="81"/>
        <v>0.018866543845451885</v>
      </c>
      <c r="N427" s="144">
        <v>315</v>
      </c>
      <c r="O427" s="437">
        <f t="shared" si="82"/>
        <v>5.942961311317344</v>
      </c>
      <c r="P427" s="437">
        <f t="shared" si="83"/>
        <v>1131.992630727113</v>
      </c>
      <c r="Q427" s="145">
        <f t="shared" si="84"/>
        <v>356.57767867904056</v>
      </c>
      <c r="S427" s="80"/>
      <c r="T427" s="80"/>
    </row>
    <row r="428" spans="1:20" ht="12.75">
      <c r="A428" s="1032"/>
      <c r="B428" s="31">
        <v>7</v>
      </c>
      <c r="C428" s="598" t="s">
        <v>432</v>
      </c>
      <c r="D428" s="191">
        <v>55</v>
      </c>
      <c r="E428" s="191">
        <v>1992</v>
      </c>
      <c r="F428" s="348">
        <f t="shared" si="80"/>
        <v>72.3</v>
      </c>
      <c r="G428" s="348">
        <v>0</v>
      </c>
      <c r="H428" s="348">
        <v>0</v>
      </c>
      <c r="I428" s="348">
        <v>72.3</v>
      </c>
      <c r="J428" s="350">
        <v>3755.18</v>
      </c>
      <c r="K428" s="808">
        <v>72.3</v>
      </c>
      <c r="L428" s="350">
        <v>3755.18</v>
      </c>
      <c r="M428" s="143">
        <f t="shared" si="81"/>
        <v>0.01925340463040387</v>
      </c>
      <c r="N428" s="144">
        <v>315</v>
      </c>
      <c r="O428" s="437">
        <f t="shared" si="82"/>
        <v>6.064822458577219</v>
      </c>
      <c r="P428" s="437">
        <f t="shared" si="83"/>
        <v>1155.2042778242321</v>
      </c>
      <c r="Q428" s="145">
        <f t="shared" si="84"/>
        <v>363.8893475146331</v>
      </c>
      <c r="S428" s="80"/>
      <c r="T428" s="80"/>
    </row>
    <row r="429" spans="1:20" ht="12.75">
      <c r="A429" s="1032"/>
      <c r="B429" s="31">
        <v>8</v>
      </c>
      <c r="C429" s="598" t="s">
        <v>433</v>
      </c>
      <c r="D429" s="191">
        <v>66</v>
      </c>
      <c r="E429" s="191">
        <v>1972</v>
      </c>
      <c r="F429" s="348">
        <f t="shared" si="80"/>
        <v>80.27000000000001</v>
      </c>
      <c r="G429" s="348">
        <v>6.1</v>
      </c>
      <c r="H429" s="348">
        <v>10.4</v>
      </c>
      <c r="I429" s="348">
        <v>63.77</v>
      </c>
      <c r="J429" s="350">
        <v>3215.54</v>
      </c>
      <c r="K429" s="808">
        <v>63.77</v>
      </c>
      <c r="L429" s="350">
        <v>3215.54</v>
      </c>
      <c r="M429" s="143">
        <f t="shared" si="81"/>
        <v>0.019831816739956588</v>
      </c>
      <c r="N429" s="144">
        <v>315</v>
      </c>
      <c r="O429" s="437">
        <f t="shared" si="82"/>
        <v>6.247022273086325</v>
      </c>
      <c r="P429" s="437">
        <f t="shared" si="83"/>
        <v>1189.9090043973952</v>
      </c>
      <c r="Q429" s="145">
        <f t="shared" si="84"/>
        <v>374.8213363851795</v>
      </c>
      <c r="S429" s="80"/>
      <c r="T429" s="80"/>
    </row>
    <row r="430" spans="1:20" ht="12.75">
      <c r="A430" s="1032"/>
      <c r="B430" s="31">
        <v>9</v>
      </c>
      <c r="C430" s="598" t="s">
        <v>434</v>
      </c>
      <c r="D430" s="191">
        <v>43</v>
      </c>
      <c r="E430" s="191">
        <v>1981</v>
      </c>
      <c r="F430" s="348">
        <f t="shared" si="80"/>
        <v>54.71</v>
      </c>
      <c r="G430" s="348">
        <v>4.52</v>
      </c>
      <c r="H430" s="348">
        <v>6.88</v>
      </c>
      <c r="I430" s="348">
        <v>43.31</v>
      </c>
      <c r="J430" s="350">
        <v>2297.74</v>
      </c>
      <c r="K430" s="808">
        <v>43.31</v>
      </c>
      <c r="L430" s="350">
        <v>2168.24</v>
      </c>
      <c r="M430" s="143">
        <f t="shared" si="81"/>
        <v>0.019974726045087262</v>
      </c>
      <c r="N430" s="144">
        <v>315</v>
      </c>
      <c r="O430" s="437">
        <f t="shared" si="82"/>
        <v>6.292038704202487</v>
      </c>
      <c r="P430" s="437">
        <f t="shared" si="83"/>
        <v>1198.4835627052357</v>
      </c>
      <c r="Q430" s="145">
        <f t="shared" si="84"/>
        <v>377.52232225214925</v>
      </c>
      <c r="S430" s="80"/>
      <c r="T430" s="80"/>
    </row>
    <row r="431" spans="1:20" ht="13.5" thickBot="1">
      <c r="A431" s="1033"/>
      <c r="B431" s="57">
        <v>10</v>
      </c>
      <c r="C431" s="599" t="s">
        <v>435</v>
      </c>
      <c r="D431" s="221">
        <v>76</v>
      </c>
      <c r="E431" s="221">
        <v>1985</v>
      </c>
      <c r="F431" s="349">
        <f t="shared" si="80"/>
        <v>98.39999999999999</v>
      </c>
      <c r="G431" s="349">
        <v>5.63</v>
      </c>
      <c r="H431" s="349">
        <v>12</v>
      </c>
      <c r="I431" s="349">
        <v>80.77</v>
      </c>
      <c r="J431" s="479">
        <v>4030.92</v>
      </c>
      <c r="K431" s="815">
        <v>80.77</v>
      </c>
      <c r="L431" s="479">
        <v>4030.92</v>
      </c>
      <c r="M431" s="357">
        <f t="shared" si="81"/>
        <v>0.02003760928026356</v>
      </c>
      <c r="N431" s="343">
        <v>315</v>
      </c>
      <c r="O431" s="344">
        <f t="shared" si="82"/>
        <v>6.311846923283022</v>
      </c>
      <c r="P431" s="344">
        <f t="shared" si="83"/>
        <v>1202.2565568158136</v>
      </c>
      <c r="Q431" s="345">
        <f t="shared" si="84"/>
        <v>378.71081539698133</v>
      </c>
      <c r="S431" s="80"/>
      <c r="T431" s="80"/>
    </row>
    <row r="432" spans="1:20" ht="11.25" customHeight="1">
      <c r="A432" s="943" t="s">
        <v>29</v>
      </c>
      <c r="B432" s="60">
        <v>1</v>
      </c>
      <c r="C432" s="600" t="s">
        <v>436</v>
      </c>
      <c r="D432" s="222">
        <v>45</v>
      </c>
      <c r="E432" s="222">
        <v>1983</v>
      </c>
      <c r="F432" s="473">
        <f t="shared" si="80"/>
        <v>58.1</v>
      </c>
      <c r="G432" s="473">
        <v>4.01</v>
      </c>
      <c r="H432" s="473">
        <v>7.2</v>
      </c>
      <c r="I432" s="473">
        <v>46.89</v>
      </c>
      <c r="J432" s="480">
        <v>2323.8</v>
      </c>
      <c r="K432" s="816">
        <v>46.89</v>
      </c>
      <c r="L432" s="480">
        <v>2323.8</v>
      </c>
      <c r="M432" s="452">
        <f t="shared" si="81"/>
        <v>0.020178156467854376</v>
      </c>
      <c r="N432" s="453">
        <v>315</v>
      </c>
      <c r="O432" s="454">
        <f t="shared" si="82"/>
        <v>6.356119287374129</v>
      </c>
      <c r="P432" s="454">
        <f t="shared" si="83"/>
        <v>1210.6893880712626</v>
      </c>
      <c r="Q432" s="455">
        <f t="shared" si="84"/>
        <v>381.3671572424477</v>
      </c>
      <c r="S432" s="80"/>
      <c r="T432" s="80"/>
    </row>
    <row r="433" spans="1:20" ht="12.75" customHeight="1">
      <c r="A433" s="944"/>
      <c r="B433" s="35">
        <v>2</v>
      </c>
      <c r="C433" s="601" t="s">
        <v>437</v>
      </c>
      <c r="D433" s="140">
        <v>67</v>
      </c>
      <c r="E433" s="140">
        <v>1972</v>
      </c>
      <c r="F433" s="183">
        <f t="shared" si="80"/>
        <v>85.7</v>
      </c>
      <c r="G433" s="183">
        <v>9.69</v>
      </c>
      <c r="H433" s="183">
        <v>10.4</v>
      </c>
      <c r="I433" s="183">
        <v>65.61</v>
      </c>
      <c r="J433" s="351">
        <v>3221.22</v>
      </c>
      <c r="K433" s="809">
        <v>65.61</v>
      </c>
      <c r="L433" s="351">
        <v>3221.22</v>
      </c>
      <c r="M433" s="146">
        <f t="shared" si="81"/>
        <v>0.020368059306722298</v>
      </c>
      <c r="N433" s="147">
        <v>315</v>
      </c>
      <c r="O433" s="148">
        <f t="shared" si="82"/>
        <v>6.415938681617524</v>
      </c>
      <c r="P433" s="148">
        <f t="shared" si="83"/>
        <v>1222.0835584033377</v>
      </c>
      <c r="Q433" s="149">
        <f t="shared" si="84"/>
        <v>384.95632089705134</v>
      </c>
      <c r="S433" s="80"/>
      <c r="T433" s="80"/>
    </row>
    <row r="434" spans="1:20" ht="12.75" customHeight="1">
      <c r="A434" s="944"/>
      <c r="B434" s="35">
        <v>3</v>
      </c>
      <c r="C434" s="601" t="s">
        <v>438</v>
      </c>
      <c r="D434" s="140">
        <v>19</v>
      </c>
      <c r="E434" s="140">
        <v>1997</v>
      </c>
      <c r="F434" s="183">
        <f t="shared" si="80"/>
        <v>27.86</v>
      </c>
      <c r="G434" s="183">
        <v>1.88</v>
      </c>
      <c r="H434" s="183">
        <v>3.04</v>
      </c>
      <c r="I434" s="183">
        <v>22.94</v>
      </c>
      <c r="J434" s="351">
        <v>1404.59</v>
      </c>
      <c r="K434" s="809">
        <v>22.94</v>
      </c>
      <c r="L434" s="351">
        <v>1116.22</v>
      </c>
      <c r="M434" s="146">
        <f t="shared" si="81"/>
        <v>0.02055150418376306</v>
      </c>
      <c r="N434" s="147">
        <v>315</v>
      </c>
      <c r="O434" s="148">
        <f t="shared" si="82"/>
        <v>6.4737238178853636</v>
      </c>
      <c r="P434" s="148">
        <f t="shared" si="83"/>
        <v>1233.0902510257836</v>
      </c>
      <c r="Q434" s="149">
        <f t="shared" si="84"/>
        <v>388.4234290731218</v>
      </c>
      <c r="S434" s="80"/>
      <c r="T434" s="80"/>
    </row>
    <row r="435" spans="1:20" ht="12.75" customHeight="1">
      <c r="A435" s="944"/>
      <c r="B435" s="35">
        <v>4</v>
      </c>
      <c r="C435" s="601" t="s">
        <v>439</v>
      </c>
      <c r="D435" s="140">
        <v>44</v>
      </c>
      <c r="E435" s="140">
        <v>1988</v>
      </c>
      <c r="F435" s="183">
        <f t="shared" si="80"/>
        <v>58.6</v>
      </c>
      <c r="G435" s="183">
        <v>4.17</v>
      </c>
      <c r="H435" s="183">
        <v>7.12</v>
      </c>
      <c r="I435" s="183">
        <v>47.31</v>
      </c>
      <c r="J435" s="351">
        <v>2297.82</v>
      </c>
      <c r="K435" s="809">
        <v>47.31</v>
      </c>
      <c r="L435" s="351">
        <v>2297.82</v>
      </c>
      <c r="M435" s="146">
        <f t="shared" si="81"/>
        <v>0.020589080084601925</v>
      </c>
      <c r="N435" s="147">
        <v>315</v>
      </c>
      <c r="O435" s="148">
        <f t="shared" si="82"/>
        <v>6.485560226649606</v>
      </c>
      <c r="P435" s="148">
        <f t="shared" si="83"/>
        <v>1235.3448050761156</v>
      </c>
      <c r="Q435" s="149">
        <f t="shared" si="84"/>
        <v>389.1336135989764</v>
      </c>
      <c r="S435" s="80"/>
      <c r="T435" s="80"/>
    </row>
    <row r="436" spans="1:20" ht="12.75" customHeight="1">
      <c r="A436" s="944"/>
      <c r="B436" s="35">
        <v>5</v>
      </c>
      <c r="C436" s="601" t="s">
        <v>440</v>
      </c>
      <c r="D436" s="140">
        <v>45</v>
      </c>
      <c r="E436" s="140">
        <v>1981</v>
      </c>
      <c r="F436" s="183">
        <f t="shared" si="80"/>
        <v>57.800000000000004</v>
      </c>
      <c r="G436" s="183">
        <v>4.09</v>
      </c>
      <c r="H436" s="183">
        <v>7.12</v>
      </c>
      <c r="I436" s="183">
        <v>46.59</v>
      </c>
      <c r="J436" s="351">
        <v>2250.72</v>
      </c>
      <c r="K436" s="809">
        <v>46.59</v>
      </c>
      <c r="L436" s="351">
        <v>2250.72</v>
      </c>
      <c r="M436" s="146">
        <f t="shared" si="81"/>
        <v>0.020700042653017704</v>
      </c>
      <c r="N436" s="147">
        <v>315</v>
      </c>
      <c r="O436" s="148">
        <f t="shared" si="82"/>
        <v>6.520513435700577</v>
      </c>
      <c r="P436" s="148">
        <f t="shared" si="83"/>
        <v>1242.0025591810622</v>
      </c>
      <c r="Q436" s="149">
        <f t="shared" si="84"/>
        <v>391.23080614203457</v>
      </c>
      <c r="S436" s="80"/>
      <c r="T436" s="80"/>
    </row>
    <row r="437" spans="1:20" ht="12.75" customHeight="1">
      <c r="A437" s="944"/>
      <c r="B437" s="35">
        <v>6</v>
      </c>
      <c r="C437" s="601" t="s">
        <v>441</v>
      </c>
      <c r="D437" s="140">
        <v>50</v>
      </c>
      <c r="E437" s="140">
        <v>1992</v>
      </c>
      <c r="F437" s="183">
        <f t="shared" si="80"/>
        <v>59.7</v>
      </c>
      <c r="G437" s="183">
        <v>3.94</v>
      </c>
      <c r="H437" s="183">
        <v>7.84</v>
      </c>
      <c r="I437" s="183">
        <v>47.92</v>
      </c>
      <c r="J437" s="351">
        <v>2313.92</v>
      </c>
      <c r="K437" s="809">
        <v>47.92</v>
      </c>
      <c r="L437" s="351">
        <v>2313.92</v>
      </c>
      <c r="M437" s="146">
        <f t="shared" si="81"/>
        <v>0.020709445443230536</v>
      </c>
      <c r="N437" s="147">
        <v>315</v>
      </c>
      <c r="O437" s="148">
        <f t="shared" si="82"/>
        <v>6.5234753146176185</v>
      </c>
      <c r="P437" s="148">
        <f t="shared" si="83"/>
        <v>1242.566726593832</v>
      </c>
      <c r="Q437" s="149">
        <f t="shared" si="84"/>
        <v>391.40851887705713</v>
      </c>
      <c r="S437" s="80"/>
      <c r="T437" s="80"/>
    </row>
    <row r="438" spans="1:20" ht="12.75" customHeight="1">
      <c r="A438" s="944"/>
      <c r="B438" s="35">
        <v>7</v>
      </c>
      <c r="C438" s="601" t="s">
        <v>442</v>
      </c>
      <c r="D438" s="140">
        <v>44</v>
      </c>
      <c r="E438" s="140">
        <v>1977</v>
      </c>
      <c r="F438" s="183">
        <f t="shared" si="80"/>
        <v>58.29</v>
      </c>
      <c r="G438" s="183">
        <v>5.91</v>
      </c>
      <c r="H438" s="183">
        <v>6.88</v>
      </c>
      <c r="I438" s="183">
        <v>45.5</v>
      </c>
      <c r="J438" s="351">
        <v>2320.79</v>
      </c>
      <c r="K438" s="809">
        <v>45.5</v>
      </c>
      <c r="L438" s="351">
        <v>2193.02</v>
      </c>
      <c r="M438" s="146">
        <f t="shared" si="81"/>
        <v>0.02074764480032102</v>
      </c>
      <c r="N438" s="147">
        <v>315</v>
      </c>
      <c r="O438" s="148">
        <f t="shared" si="82"/>
        <v>6.535508112101121</v>
      </c>
      <c r="P438" s="148">
        <f t="shared" si="83"/>
        <v>1244.858688019261</v>
      </c>
      <c r="Q438" s="149">
        <f t="shared" si="84"/>
        <v>392.13048672606726</v>
      </c>
      <c r="S438" s="80"/>
      <c r="T438" s="80"/>
    </row>
    <row r="439" spans="1:20" ht="12.75" customHeight="1">
      <c r="A439" s="944"/>
      <c r="B439" s="35">
        <v>8</v>
      </c>
      <c r="C439" s="601" t="s">
        <v>443</v>
      </c>
      <c r="D439" s="140">
        <v>30</v>
      </c>
      <c r="E439" s="140">
        <v>1990</v>
      </c>
      <c r="F439" s="183">
        <f t="shared" si="80"/>
        <v>41.3</v>
      </c>
      <c r="G439" s="183">
        <v>2.71</v>
      </c>
      <c r="H439" s="183">
        <v>4.8</v>
      </c>
      <c r="I439" s="183">
        <v>33.79</v>
      </c>
      <c r="J439" s="351">
        <v>1620.63</v>
      </c>
      <c r="K439" s="809">
        <v>33.79</v>
      </c>
      <c r="L439" s="351">
        <v>1620.63</v>
      </c>
      <c r="M439" s="146">
        <f t="shared" si="81"/>
        <v>0.02084991639053948</v>
      </c>
      <c r="N439" s="147">
        <v>315</v>
      </c>
      <c r="O439" s="148">
        <f t="shared" si="82"/>
        <v>6.567723663019936</v>
      </c>
      <c r="P439" s="148">
        <f t="shared" si="83"/>
        <v>1250.9949834323688</v>
      </c>
      <c r="Q439" s="149">
        <f t="shared" si="84"/>
        <v>394.06341978119616</v>
      </c>
      <c r="S439" s="80"/>
      <c r="T439" s="80"/>
    </row>
    <row r="440" spans="1:20" ht="13.5" customHeight="1">
      <c r="A440" s="944"/>
      <c r="B440" s="35">
        <v>9</v>
      </c>
      <c r="C440" s="601" t="s">
        <v>444</v>
      </c>
      <c r="D440" s="140">
        <v>30</v>
      </c>
      <c r="E440" s="140">
        <v>1988</v>
      </c>
      <c r="F440" s="183">
        <f t="shared" si="80"/>
        <v>41.7</v>
      </c>
      <c r="G440" s="183">
        <v>2.81</v>
      </c>
      <c r="H440" s="183">
        <v>4.8</v>
      </c>
      <c r="I440" s="183">
        <v>34.09</v>
      </c>
      <c r="J440" s="351">
        <v>1627.91</v>
      </c>
      <c r="K440" s="809">
        <v>34.09</v>
      </c>
      <c r="L440" s="351">
        <v>1627.91</v>
      </c>
      <c r="M440" s="146">
        <f t="shared" si="81"/>
        <v>0.020940961109643656</v>
      </c>
      <c r="N440" s="147">
        <v>315</v>
      </c>
      <c r="O440" s="148">
        <f t="shared" si="82"/>
        <v>6.596402749537751</v>
      </c>
      <c r="P440" s="148">
        <f t="shared" si="83"/>
        <v>1256.4576665786194</v>
      </c>
      <c r="Q440" s="149">
        <f t="shared" si="84"/>
        <v>395.78416497226516</v>
      </c>
      <c r="S440" s="80"/>
      <c r="T440" s="80"/>
    </row>
    <row r="441" spans="1:20" ht="13.5" customHeight="1" thickBot="1">
      <c r="A441" s="945"/>
      <c r="B441" s="37">
        <v>10</v>
      </c>
      <c r="C441" s="602" t="s">
        <v>445</v>
      </c>
      <c r="D441" s="141">
        <v>30</v>
      </c>
      <c r="E441" s="141">
        <v>1990</v>
      </c>
      <c r="F441" s="184">
        <f t="shared" si="80"/>
        <v>39.33</v>
      </c>
      <c r="G441" s="184">
        <v>2.9</v>
      </c>
      <c r="H441" s="184">
        <v>4.8</v>
      </c>
      <c r="I441" s="184">
        <v>31.63</v>
      </c>
      <c r="J441" s="352">
        <v>1510.09</v>
      </c>
      <c r="K441" s="817">
        <v>31.63</v>
      </c>
      <c r="L441" s="352">
        <v>1510.09</v>
      </c>
      <c r="M441" s="178">
        <f t="shared" si="81"/>
        <v>0.020945771444086114</v>
      </c>
      <c r="N441" s="185">
        <v>315</v>
      </c>
      <c r="O441" s="179">
        <f t="shared" si="82"/>
        <v>6.597918004887126</v>
      </c>
      <c r="P441" s="179">
        <f t="shared" si="83"/>
        <v>1256.746286645167</v>
      </c>
      <c r="Q441" s="180">
        <f t="shared" si="84"/>
        <v>395.8750802932276</v>
      </c>
      <c r="S441" s="80"/>
      <c r="T441" s="80"/>
    </row>
    <row r="442" spans="1:20" ht="12.75">
      <c r="A442" s="914" t="s">
        <v>30</v>
      </c>
      <c r="B442" s="262">
        <v>1</v>
      </c>
      <c r="C442" s="603" t="s">
        <v>446</v>
      </c>
      <c r="D442" s="323">
        <v>46</v>
      </c>
      <c r="E442" s="323">
        <v>1973</v>
      </c>
      <c r="F442" s="474">
        <f t="shared" si="80"/>
        <v>36.66</v>
      </c>
      <c r="G442" s="474">
        <v>1.64</v>
      </c>
      <c r="H442" s="474">
        <v>0.36</v>
      </c>
      <c r="I442" s="474">
        <v>34.66</v>
      </c>
      <c r="J442" s="481">
        <v>1126.98</v>
      </c>
      <c r="K442" s="818">
        <v>34.66</v>
      </c>
      <c r="L442" s="481">
        <v>1073.26</v>
      </c>
      <c r="M442" s="456">
        <f t="shared" si="81"/>
        <v>0.032294131897210365</v>
      </c>
      <c r="N442" s="457">
        <v>315</v>
      </c>
      <c r="O442" s="458">
        <f t="shared" si="82"/>
        <v>10.172651547621266</v>
      </c>
      <c r="P442" s="458">
        <f t="shared" si="83"/>
        <v>1937.647913832622</v>
      </c>
      <c r="Q442" s="459">
        <f t="shared" si="84"/>
        <v>610.359092857276</v>
      </c>
      <c r="S442" s="80"/>
      <c r="T442" s="80"/>
    </row>
    <row r="443" spans="1:20" ht="12.75">
      <c r="A443" s="896"/>
      <c r="B443" s="219">
        <v>2</v>
      </c>
      <c r="C443" s="604" t="s">
        <v>447</v>
      </c>
      <c r="D443" s="220">
        <v>45</v>
      </c>
      <c r="E443" s="220">
        <v>1982</v>
      </c>
      <c r="F443" s="439">
        <f t="shared" si="80"/>
        <v>54.9</v>
      </c>
      <c r="G443" s="439">
        <v>3.67</v>
      </c>
      <c r="H443" s="439">
        <v>0.44</v>
      </c>
      <c r="I443" s="439">
        <v>50.79</v>
      </c>
      <c r="J443" s="441">
        <v>1563.22</v>
      </c>
      <c r="K443" s="810">
        <v>50.79</v>
      </c>
      <c r="L443" s="441">
        <v>1563.22</v>
      </c>
      <c r="M443" s="358">
        <f t="shared" si="81"/>
        <v>0.03249062831847085</v>
      </c>
      <c r="N443" s="457">
        <v>315</v>
      </c>
      <c r="O443" s="347">
        <f t="shared" si="82"/>
        <v>10.234547920318317</v>
      </c>
      <c r="P443" s="347">
        <f t="shared" si="83"/>
        <v>1949.4376991082509</v>
      </c>
      <c r="Q443" s="460">
        <f t="shared" si="84"/>
        <v>614.072875219099</v>
      </c>
      <c r="S443" s="80"/>
      <c r="T443" s="80"/>
    </row>
    <row r="444" spans="1:20" ht="12.75">
      <c r="A444" s="896"/>
      <c r="B444" s="219">
        <v>3</v>
      </c>
      <c r="C444" s="604" t="s">
        <v>448</v>
      </c>
      <c r="D444" s="220">
        <v>32</v>
      </c>
      <c r="E444" s="220">
        <v>1965</v>
      </c>
      <c r="F444" s="439">
        <f t="shared" si="80"/>
        <v>46.69</v>
      </c>
      <c r="G444" s="439">
        <v>0</v>
      </c>
      <c r="H444" s="439">
        <v>0</v>
      </c>
      <c r="I444" s="439">
        <v>46.69</v>
      </c>
      <c r="J444" s="441">
        <v>1419.59</v>
      </c>
      <c r="K444" s="810">
        <v>46.69</v>
      </c>
      <c r="L444" s="441">
        <v>1419.59</v>
      </c>
      <c r="M444" s="358">
        <f t="shared" si="81"/>
        <v>0.03288977803450292</v>
      </c>
      <c r="N444" s="457">
        <v>315</v>
      </c>
      <c r="O444" s="347">
        <f t="shared" si="82"/>
        <v>10.36028008086842</v>
      </c>
      <c r="P444" s="347">
        <f t="shared" si="83"/>
        <v>1973.3866820701753</v>
      </c>
      <c r="Q444" s="460">
        <f t="shared" si="84"/>
        <v>621.6168048521052</v>
      </c>
      <c r="S444" s="80"/>
      <c r="T444" s="80"/>
    </row>
    <row r="445" spans="1:20" ht="12.75">
      <c r="A445" s="896"/>
      <c r="B445" s="219">
        <v>4</v>
      </c>
      <c r="C445" s="604" t="s">
        <v>449</v>
      </c>
      <c r="D445" s="220">
        <v>32</v>
      </c>
      <c r="E445" s="220">
        <v>1963</v>
      </c>
      <c r="F445" s="439">
        <f t="shared" si="80"/>
        <v>46.15</v>
      </c>
      <c r="G445" s="439">
        <v>0</v>
      </c>
      <c r="H445" s="439">
        <v>0</v>
      </c>
      <c r="I445" s="439">
        <v>46.15</v>
      </c>
      <c r="J445" s="441">
        <v>1402.34</v>
      </c>
      <c r="K445" s="810">
        <v>46.15</v>
      </c>
      <c r="L445" s="441">
        <v>1402.34</v>
      </c>
      <c r="M445" s="358">
        <f t="shared" si="81"/>
        <v>0.03290928020308912</v>
      </c>
      <c r="N445" s="457">
        <v>315</v>
      </c>
      <c r="O445" s="347">
        <f t="shared" si="82"/>
        <v>10.366423263973074</v>
      </c>
      <c r="P445" s="347">
        <f t="shared" si="83"/>
        <v>1974.556812185347</v>
      </c>
      <c r="Q445" s="460">
        <f t="shared" si="84"/>
        <v>621.9853958383843</v>
      </c>
      <c r="S445" s="80"/>
      <c r="T445" s="80"/>
    </row>
    <row r="446" spans="1:20" ht="12.75">
      <c r="A446" s="896"/>
      <c r="B446" s="219">
        <v>5</v>
      </c>
      <c r="C446" s="604" t="s">
        <v>450</v>
      </c>
      <c r="D446" s="220">
        <v>76</v>
      </c>
      <c r="E446" s="220">
        <v>1973</v>
      </c>
      <c r="F446" s="439">
        <f t="shared" si="80"/>
        <v>79.6</v>
      </c>
      <c r="G446" s="439">
        <v>0</v>
      </c>
      <c r="H446" s="439">
        <v>0</v>
      </c>
      <c r="I446" s="439">
        <v>79.6</v>
      </c>
      <c r="J446" s="441">
        <v>2526.69</v>
      </c>
      <c r="K446" s="810">
        <v>79.6</v>
      </c>
      <c r="L446" s="441">
        <v>2414.23</v>
      </c>
      <c r="M446" s="358">
        <f t="shared" si="81"/>
        <v>0.03297117507445438</v>
      </c>
      <c r="N446" s="457">
        <v>315</v>
      </c>
      <c r="O446" s="347">
        <f t="shared" si="82"/>
        <v>10.38592014845313</v>
      </c>
      <c r="P446" s="347">
        <f t="shared" si="83"/>
        <v>1978.2705044672628</v>
      </c>
      <c r="Q446" s="460">
        <f t="shared" si="84"/>
        <v>623.1552089071878</v>
      </c>
      <c r="S446" s="80"/>
      <c r="T446" s="80"/>
    </row>
    <row r="447" spans="1:20" ht="12.75">
      <c r="A447" s="896"/>
      <c r="B447" s="219">
        <v>6</v>
      </c>
      <c r="C447" s="604" t="s">
        <v>451</v>
      </c>
      <c r="D447" s="220">
        <v>12</v>
      </c>
      <c r="E447" s="220">
        <v>1985</v>
      </c>
      <c r="F447" s="439">
        <f t="shared" si="80"/>
        <v>7.24</v>
      </c>
      <c r="G447" s="439">
        <v>0</v>
      </c>
      <c r="H447" s="439">
        <v>0</v>
      </c>
      <c r="I447" s="439">
        <v>7.24</v>
      </c>
      <c r="J447" s="441">
        <v>677.24</v>
      </c>
      <c r="K447" s="810">
        <v>7.24</v>
      </c>
      <c r="L447" s="441">
        <v>218.02</v>
      </c>
      <c r="M447" s="358">
        <f t="shared" si="81"/>
        <v>0.03320796257224108</v>
      </c>
      <c r="N447" s="457">
        <v>315</v>
      </c>
      <c r="O447" s="347">
        <f t="shared" si="82"/>
        <v>10.460508210255941</v>
      </c>
      <c r="P447" s="347">
        <f t="shared" si="83"/>
        <v>1992.4777543344649</v>
      </c>
      <c r="Q447" s="460">
        <f t="shared" si="84"/>
        <v>627.6304926153565</v>
      </c>
      <c r="S447" s="80"/>
      <c r="T447" s="80"/>
    </row>
    <row r="448" spans="1:20" ht="12.75">
      <c r="A448" s="896"/>
      <c r="B448" s="219">
        <v>7</v>
      </c>
      <c r="C448" s="604" t="s">
        <v>452</v>
      </c>
      <c r="D448" s="220">
        <v>29</v>
      </c>
      <c r="E448" s="220">
        <v>1960</v>
      </c>
      <c r="F448" s="439">
        <f t="shared" si="80"/>
        <v>39.75</v>
      </c>
      <c r="G448" s="439">
        <v>0</v>
      </c>
      <c r="H448" s="439">
        <v>0</v>
      </c>
      <c r="I448" s="439">
        <v>39.75</v>
      </c>
      <c r="J448" s="441">
        <v>1187.67</v>
      </c>
      <c r="K448" s="810">
        <v>39.75</v>
      </c>
      <c r="L448" s="441">
        <v>1187.67</v>
      </c>
      <c r="M448" s="358">
        <f t="shared" si="81"/>
        <v>0.03346889287428326</v>
      </c>
      <c r="N448" s="457">
        <v>315</v>
      </c>
      <c r="O448" s="347">
        <f t="shared" si="82"/>
        <v>10.542701255399226</v>
      </c>
      <c r="P448" s="347">
        <f t="shared" si="83"/>
        <v>2008.1335724569956</v>
      </c>
      <c r="Q448" s="460">
        <f t="shared" si="84"/>
        <v>632.5620753239536</v>
      </c>
      <c r="S448" s="80"/>
      <c r="T448" s="80"/>
    </row>
    <row r="449" spans="1:20" ht="12.75">
      <c r="A449" s="896"/>
      <c r="B449" s="219">
        <v>8</v>
      </c>
      <c r="C449" s="604" t="s">
        <v>453</v>
      </c>
      <c r="D449" s="220">
        <v>34</v>
      </c>
      <c r="E449" s="220">
        <v>1960</v>
      </c>
      <c r="F449" s="439">
        <f t="shared" si="80"/>
        <v>49.79</v>
      </c>
      <c r="G449" s="439">
        <v>0</v>
      </c>
      <c r="H449" s="439">
        <v>0</v>
      </c>
      <c r="I449" s="439">
        <v>49.79</v>
      </c>
      <c r="J449" s="441">
        <v>1562.13</v>
      </c>
      <c r="K449" s="810">
        <v>49.79</v>
      </c>
      <c r="L449" s="441">
        <v>1483.17</v>
      </c>
      <c r="M449" s="358">
        <f t="shared" si="81"/>
        <v>0.03356998860548689</v>
      </c>
      <c r="N449" s="457">
        <v>315</v>
      </c>
      <c r="O449" s="347">
        <f t="shared" si="82"/>
        <v>10.57454641072837</v>
      </c>
      <c r="P449" s="347">
        <f t="shared" si="83"/>
        <v>2014.1993163292136</v>
      </c>
      <c r="Q449" s="460">
        <f t="shared" si="84"/>
        <v>634.4727846437023</v>
      </c>
      <c r="S449" s="80"/>
      <c r="T449" s="80"/>
    </row>
    <row r="450" spans="1:20" ht="12.75">
      <c r="A450" s="896"/>
      <c r="B450" s="219">
        <v>9</v>
      </c>
      <c r="C450" s="604" t="s">
        <v>454</v>
      </c>
      <c r="D450" s="220">
        <v>10</v>
      </c>
      <c r="E450" s="220">
        <v>1925</v>
      </c>
      <c r="F450" s="439">
        <f t="shared" si="80"/>
        <v>18.34</v>
      </c>
      <c r="G450" s="439">
        <v>0.83</v>
      </c>
      <c r="H450" s="439">
        <v>1.52</v>
      </c>
      <c r="I450" s="439">
        <v>15.99</v>
      </c>
      <c r="J450" s="441">
        <v>547.67</v>
      </c>
      <c r="K450" s="810">
        <v>15.99</v>
      </c>
      <c r="L450" s="441">
        <v>458.42</v>
      </c>
      <c r="M450" s="358">
        <f t="shared" si="81"/>
        <v>0.03488067710832861</v>
      </c>
      <c r="N450" s="457">
        <v>315</v>
      </c>
      <c r="O450" s="347">
        <f t="shared" si="82"/>
        <v>10.987413289123511</v>
      </c>
      <c r="P450" s="347">
        <f t="shared" si="83"/>
        <v>2092.8406264997166</v>
      </c>
      <c r="Q450" s="460">
        <f t="shared" si="84"/>
        <v>659.2447973474107</v>
      </c>
      <c r="S450" s="80"/>
      <c r="T450" s="80"/>
    </row>
    <row r="451" spans="1:20" ht="13.5" thickBot="1">
      <c r="A451" s="897"/>
      <c r="B451" s="232">
        <v>10</v>
      </c>
      <c r="C451" s="605" t="s">
        <v>455</v>
      </c>
      <c r="D451" s="371">
        <v>5</v>
      </c>
      <c r="E451" s="371">
        <v>1957</v>
      </c>
      <c r="F451" s="475">
        <f t="shared" si="80"/>
        <v>8.29</v>
      </c>
      <c r="G451" s="475">
        <v>0.21</v>
      </c>
      <c r="H451" s="475">
        <v>0.05</v>
      </c>
      <c r="I451" s="475">
        <v>8.03</v>
      </c>
      <c r="J451" s="482">
        <v>351.84</v>
      </c>
      <c r="K451" s="819">
        <v>8.03</v>
      </c>
      <c r="L451" s="482">
        <v>227.58</v>
      </c>
      <c r="M451" s="461">
        <f t="shared" si="81"/>
        <v>0.03528429563230512</v>
      </c>
      <c r="N451" s="554">
        <v>315</v>
      </c>
      <c r="O451" s="462">
        <f t="shared" si="82"/>
        <v>11.114553124176112</v>
      </c>
      <c r="P451" s="462">
        <f t="shared" si="83"/>
        <v>2117.0577379383067</v>
      </c>
      <c r="Q451" s="463">
        <f t="shared" si="84"/>
        <v>666.8731874505665</v>
      </c>
      <c r="S451" s="80"/>
      <c r="T451" s="80"/>
    </row>
    <row r="452" spans="1:20" ht="12.75">
      <c r="A452" s="904" t="s">
        <v>12</v>
      </c>
      <c r="B452" s="73">
        <v>1</v>
      </c>
      <c r="C452" s="606" t="s">
        <v>456</v>
      </c>
      <c r="D452" s="226">
        <v>6</v>
      </c>
      <c r="E452" s="226">
        <v>1956</v>
      </c>
      <c r="F452" s="476">
        <f t="shared" si="80"/>
        <v>12.8</v>
      </c>
      <c r="G452" s="476">
        <v>0.21</v>
      </c>
      <c r="H452" s="476">
        <v>0.96</v>
      </c>
      <c r="I452" s="476">
        <v>11.63</v>
      </c>
      <c r="J452" s="483">
        <v>327.26</v>
      </c>
      <c r="K452" s="820">
        <v>11.63</v>
      </c>
      <c r="L452" s="483">
        <v>327.26</v>
      </c>
      <c r="M452" s="464">
        <f t="shared" si="81"/>
        <v>0.03553749312473263</v>
      </c>
      <c r="N452" s="465">
        <v>315</v>
      </c>
      <c r="O452" s="466">
        <f t="shared" si="82"/>
        <v>11.194310334290778</v>
      </c>
      <c r="P452" s="466">
        <f t="shared" si="83"/>
        <v>2132.249587483958</v>
      </c>
      <c r="Q452" s="467">
        <f t="shared" si="84"/>
        <v>671.6586200574468</v>
      </c>
      <c r="S452" s="80"/>
      <c r="T452" s="80"/>
    </row>
    <row r="453" spans="1:20" ht="12.75">
      <c r="A453" s="899"/>
      <c r="B453" s="40">
        <v>2</v>
      </c>
      <c r="C453" s="607" t="s">
        <v>457</v>
      </c>
      <c r="D453" s="176">
        <v>14</v>
      </c>
      <c r="E453" s="176">
        <v>1969</v>
      </c>
      <c r="F453" s="292">
        <f t="shared" si="80"/>
        <v>20.049999999999997</v>
      </c>
      <c r="G453" s="292">
        <v>1.93</v>
      </c>
      <c r="H453" s="292">
        <v>0.13</v>
      </c>
      <c r="I453" s="292">
        <v>17.99</v>
      </c>
      <c r="J453" s="442">
        <v>500.78</v>
      </c>
      <c r="K453" s="811">
        <v>17.99</v>
      </c>
      <c r="L453" s="442">
        <v>500.78</v>
      </c>
      <c r="M453" s="187">
        <f t="shared" si="81"/>
        <v>0.035923958624545706</v>
      </c>
      <c r="N453" s="188">
        <v>315</v>
      </c>
      <c r="O453" s="195">
        <f t="shared" si="82"/>
        <v>11.316046966731898</v>
      </c>
      <c r="P453" s="195">
        <f t="shared" si="83"/>
        <v>2155.4375174727425</v>
      </c>
      <c r="Q453" s="194">
        <f t="shared" si="84"/>
        <v>678.9628180039139</v>
      </c>
      <c r="S453" s="80"/>
      <c r="T453" s="80"/>
    </row>
    <row r="454" spans="1:20" ht="12.75">
      <c r="A454" s="899"/>
      <c r="B454" s="40">
        <v>3</v>
      </c>
      <c r="C454" s="607" t="s">
        <v>458</v>
      </c>
      <c r="D454" s="176">
        <v>5</v>
      </c>
      <c r="E454" s="176">
        <v>1923</v>
      </c>
      <c r="F454" s="292">
        <f t="shared" si="80"/>
        <v>7.5</v>
      </c>
      <c r="G454" s="292">
        <v>0</v>
      </c>
      <c r="H454" s="292">
        <v>0</v>
      </c>
      <c r="I454" s="292">
        <v>7.5</v>
      </c>
      <c r="J454" s="442">
        <v>208.38</v>
      </c>
      <c r="K454" s="811">
        <v>7.5</v>
      </c>
      <c r="L454" s="442">
        <v>208.38</v>
      </c>
      <c r="M454" s="187">
        <f t="shared" si="81"/>
        <v>0.03599193780593147</v>
      </c>
      <c r="N454" s="188">
        <v>315</v>
      </c>
      <c r="O454" s="195">
        <f t="shared" si="82"/>
        <v>11.337460408868413</v>
      </c>
      <c r="P454" s="195">
        <f t="shared" si="83"/>
        <v>2159.5162683558883</v>
      </c>
      <c r="Q454" s="194">
        <f t="shared" si="84"/>
        <v>680.2476245321049</v>
      </c>
      <c r="S454" s="80"/>
      <c r="T454" s="80"/>
    </row>
    <row r="455" spans="1:20" ht="12.75">
      <c r="A455" s="899"/>
      <c r="B455" s="40">
        <v>4</v>
      </c>
      <c r="C455" s="607" t="s">
        <v>459</v>
      </c>
      <c r="D455" s="176">
        <v>4</v>
      </c>
      <c r="E455" s="176">
        <v>1929</v>
      </c>
      <c r="F455" s="292">
        <f t="shared" si="80"/>
        <v>5.32</v>
      </c>
      <c r="G455" s="292">
        <v>0</v>
      </c>
      <c r="H455" s="292">
        <v>0</v>
      </c>
      <c r="I455" s="292">
        <v>5.32</v>
      </c>
      <c r="J455" s="442">
        <v>147.21</v>
      </c>
      <c r="K455" s="811">
        <v>5.32</v>
      </c>
      <c r="L455" s="442">
        <v>147.21</v>
      </c>
      <c r="M455" s="187">
        <f t="shared" si="81"/>
        <v>0.03613884926295768</v>
      </c>
      <c r="N455" s="188">
        <v>315</v>
      </c>
      <c r="O455" s="195">
        <f t="shared" si="82"/>
        <v>11.383737517831669</v>
      </c>
      <c r="P455" s="195">
        <f t="shared" si="83"/>
        <v>2168.330955777461</v>
      </c>
      <c r="Q455" s="194">
        <f t="shared" si="84"/>
        <v>683.0242510699002</v>
      </c>
      <c r="S455" s="80"/>
      <c r="T455" s="80"/>
    </row>
    <row r="456" spans="1:20" ht="12.75">
      <c r="A456" s="899"/>
      <c r="B456" s="40">
        <v>5</v>
      </c>
      <c r="C456" s="607" t="s">
        <v>460</v>
      </c>
      <c r="D456" s="176">
        <v>7</v>
      </c>
      <c r="E456" s="176">
        <v>1942</v>
      </c>
      <c r="F456" s="292">
        <f t="shared" si="80"/>
        <v>10.16</v>
      </c>
      <c r="G456" s="292">
        <v>0</v>
      </c>
      <c r="H456" s="292">
        <v>0</v>
      </c>
      <c r="I456" s="292">
        <v>10.16</v>
      </c>
      <c r="J456" s="442">
        <v>280.84</v>
      </c>
      <c r="K456" s="811">
        <v>10.16</v>
      </c>
      <c r="L456" s="442">
        <v>280.84</v>
      </c>
      <c r="M456" s="187">
        <f t="shared" si="81"/>
        <v>0.036177182737501784</v>
      </c>
      <c r="N456" s="188">
        <v>315</v>
      </c>
      <c r="O456" s="195">
        <f t="shared" si="82"/>
        <v>11.395812562313061</v>
      </c>
      <c r="P456" s="195">
        <f t="shared" si="83"/>
        <v>2170.630964250107</v>
      </c>
      <c r="Q456" s="194">
        <f t="shared" si="84"/>
        <v>683.7487537387836</v>
      </c>
      <c r="S456" s="80"/>
      <c r="T456" s="80"/>
    </row>
    <row r="457" spans="1:20" ht="12.75">
      <c r="A457" s="899"/>
      <c r="B457" s="40">
        <v>6</v>
      </c>
      <c r="C457" s="607" t="s">
        <v>461</v>
      </c>
      <c r="D457" s="176">
        <v>67</v>
      </c>
      <c r="E457" s="176">
        <v>1970</v>
      </c>
      <c r="F457" s="292">
        <f t="shared" si="80"/>
        <v>109.69</v>
      </c>
      <c r="G457" s="292">
        <v>0</v>
      </c>
      <c r="H457" s="292">
        <v>0</v>
      </c>
      <c r="I457" s="292">
        <v>109.69</v>
      </c>
      <c r="J457" s="442">
        <v>3022.05</v>
      </c>
      <c r="K457" s="811">
        <v>109.69</v>
      </c>
      <c r="L457" s="442">
        <v>3022.05</v>
      </c>
      <c r="M457" s="187">
        <f t="shared" si="81"/>
        <v>0.036296553663903636</v>
      </c>
      <c r="N457" s="188">
        <v>315</v>
      </c>
      <c r="O457" s="195">
        <f t="shared" si="82"/>
        <v>11.433414404129644</v>
      </c>
      <c r="P457" s="195">
        <f t="shared" si="83"/>
        <v>2177.7932198342182</v>
      </c>
      <c r="Q457" s="194">
        <f t="shared" si="84"/>
        <v>686.0048642477788</v>
      </c>
      <c r="S457" s="80"/>
      <c r="T457" s="80"/>
    </row>
    <row r="458" spans="1:20" ht="12.75">
      <c r="A458" s="899"/>
      <c r="B458" s="40">
        <v>7</v>
      </c>
      <c r="C458" s="607" t="s">
        <v>462</v>
      </c>
      <c r="D458" s="176">
        <v>11</v>
      </c>
      <c r="E458" s="176">
        <v>1974</v>
      </c>
      <c r="F458" s="292">
        <f t="shared" si="80"/>
        <v>16.69</v>
      </c>
      <c r="G458" s="292">
        <v>0</v>
      </c>
      <c r="H458" s="292">
        <v>0</v>
      </c>
      <c r="I458" s="292">
        <v>16.69</v>
      </c>
      <c r="J458" s="442">
        <v>1073.96</v>
      </c>
      <c r="K458" s="811">
        <v>16.69</v>
      </c>
      <c r="L458" s="442">
        <v>458.56</v>
      </c>
      <c r="M458" s="187">
        <f t="shared" si="81"/>
        <v>0.03639654570830426</v>
      </c>
      <c r="N458" s="188">
        <v>315</v>
      </c>
      <c r="O458" s="195">
        <f t="shared" si="82"/>
        <v>11.464911898115842</v>
      </c>
      <c r="P458" s="195">
        <f t="shared" si="83"/>
        <v>2183.7927424982554</v>
      </c>
      <c r="Q458" s="194">
        <f t="shared" si="84"/>
        <v>687.8947138869504</v>
      </c>
      <c r="S458" s="80"/>
      <c r="T458" s="80"/>
    </row>
    <row r="459" spans="1:20" ht="12.75">
      <c r="A459" s="899"/>
      <c r="B459" s="40">
        <v>8</v>
      </c>
      <c r="C459" s="607" t="s">
        <v>463</v>
      </c>
      <c r="D459" s="176">
        <v>8</v>
      </c>
      <c r="E459" s="176">
        <v>1959</v>
      </c>
      <c r="F459" s="292">
        <f t="shared" si="80"/>
        <v>14.71</v>
      </c>
      <c r="G459" s="292">
        <v>0</v>
      </c>
      <c r="H459" s="292">
        <v>0</v>
      </c>
      <c r="I459" s="292">
        <v>14.71</v>
      </c>
      <c r="J459" s="442">
        <v>441.56</v>
      </c>
      <c r="K459" s="811">
        <v>14.71</v>
      </c>
      <c r="L459" s="442">
        <v>400.91</v>
      </c>
      <c r="M459" s="187">
        <f t="shared" si="81"/>
        <v>0.03669152677658327</v>
      </c>
      <c r="N459" s="188">
        <v>315</v>
      </c>
      <c r="O459" s="195">
        <f t="shared" si="82"/>
        <v>11.55783093462373</v>
      </c>
      <c r="P459" s="195">
        <f t="shared" si="83"/>
        <v>2201.4916065949965</v>
      </c>
      <c r="Q459" s="194">
        <f t="shared" si="84"/>
        <v>693.4698560774239</v>
      </c>
      <c r="S459" s="80"/>
      <c r="T459" s="80"/>
    </row>
    <row r="460" spans="1:20" ht="12.75">
      <c r="A460" s="899"/>
      <c r="B460" s="40">
        <v>9</v>
      </c>
      <c r="C460" s="608" t="s">
        <v>464</v>
      </c>
      <c r="D460" s="176">
        <v>7</v>
      </c>
      <c r="E460" s="176">
        <v>1964</v>
      </c>
      <c r="F460" s="292">
        <f t="shared" si="80"/>
        <v>12.12</v>
      </c>
      <c r="G460" s="292">
        <v>0</v>
      </c>
      <c r="H460" s="292">
        <v>0</v>
      </c>
      <c r="I460" s="292">
        <v>12.12</v>
      </c>
      <c r="J460" s="442">
        <v>1329.57</v>
      </c>
      <c r="K460" s="811">
        <v>12.12</v>
      </c>
      <c r="L460" s="442">
        <v>296.86</v>
      </c>
      <c r="M460" s="187">
        <f t="shared" si="81"/>
        <v>0.04082732601226167</v>
      </c>
      <c r="N460" s="188">
        <v>315</v>
      </c>
      <c r="O460" s="195">
        <f t="shared" si="82"/>
        <v>12.860607693862425</v>
      </c>
      <c r="P460" s="195">
        <f t="shared" si="83"/>
        <v>2449.6395607357</v>
      </c>
      <c r="Q460" s="194">
        <f t="shared" si="84"/>
        <v>771.6364616317454</v>
      </c>
      <c r="S460" s="80"/>
      <c r="T460" s="80"/>
    </row>
    <row r="461" spans="1:20" ht="13.5" thickBot="1">
      <c r="A461" s="900"/>
      <c r="B461" s="42">
        <v>10</v>
      </c>
      <c r="C461" s="609" t="s">
        <v>465</v>
      </c>
      <c r="D461" s="228">
        <v>7</v>
      </c>
      <c r="E461" s="228">
        <v>1973</v>
      </c>
      <c r="F461" s="477">
        <f t="shared" si="80"/>
        <v>11.67</v>
      </c>
      <c r="G461" s="477">
        <v>0</v>
      </c>
      <c r="H461" s="477">
        <v>0</v>
      </c>
      <c r="I461" s="477">
        <v>11.67</v>
      </c>
      <c r="J461" s="484">
        <v>246.04</v>
      </c>
      <c r="K461" s="821">
        <v>11.67</v>
      </c>
      <c r="L461" s="484">
        <v>246.04</v>
      </c>
      <c r="M461" s="468">
        <f t="shared" si="81"/>
        <v>0.04743131198179158</v>
      </c>
      <c r="N461" s="188">
        <v>315</v>
      </c>
      <c r="O461" s="470">
        <f t="shared" si="82"/>
        <v>14.940863274264348</v>
      </c>
      <c r="P461" s="470">
        <f t="shared" si="83"/>
        <v>2845.8787189074947</v>
      </c>
      <c r="Q461" s="471">
        <f t="shared" si="84"/>
        <v>896.4517964558609</v>
      </c>
      <c r="R461" s="202"/>
      <c r="S461" s="80"/>
      <c r="T461" s="80"/>
    </row>
    <row r="462" spans="3:20" ht="12.75">
      <c r="C462" s="324"/>
      <c r="N462" s="555"/>
      <c r="S462" s="80"/>
      <c r="T462" s="80"/>
    </row>
    <row r="463" spans="1:20" ht="13.5" customHeight="1">
      <c r="A463" s="907" t="s">
        <v>64</v>
      </c>
      <c r="B463" s="907"/>
      <c r="C463" s="907"/>
      <c r="D463" s="907"/>
      <c r="E463" s="907"/>
      <c r="F463" s="907"/>
      <c r="G463" s="907"/>
      <c r="H463" s="907"/>
      <c r="I463" s="907"/>
      <c r="J463" s="907"/>
      <c r="K463" s="907"/>
      <c r="L463" s="907"/>
      <c r="M463" s="907"/>
      <c r="N463" s="907"/>
      <c r="O463" s="907"/>
      <c r="P463" s="907"/>
      <c r="Q463" s="907"/>
      <c r="S463" s="80"/>
      <c r="T463" s="80"/>
    </row>
    <row r="464" spans="1:20" ht="12" customHeight="1" thickBot="1">
      <c r="A464" s="894" t="s">
        <v>506</v>
      </c>
      <c r="B464" s="894"/>
      <c r="C464" s="894"/>
      <c r="D464" s="894"/>
      <c r="E464" s="894"/>
      <c r="F464" s="894"/>
      <c r="G464" s="894"/>
      <c r="H464" s="894"/>
      <c r="I464" s="894"/>
      <c r="J464" s="894"/>
      <c r="K464" s="894"/>
      <c r="L464" s="894"/>
      <c r="M464" s="894"/>
      <c r="N464" s="894"/>
      <c r="O464" s="894"/>
      <c r="P464" s="894"/>
      <c r="Q464" s="894"/>
      <c r="S464" s="80"/>
      <c r="T464" s="80"/>
    </row>
    <row r="465" spans="1:20" ht="12.75" customHeight="1">
      <c r="A465" s="885" t="s">
        <v>1</v>
      </c>
      <c r="B465" s="908" t="s">
        <v>0</v>
      </c>
      <c r="C465" s="880" t="s">
        <v>2</v>
      </c>
      <c r="D465" s="880" t="s">
        <v>3</v>
      </c>
      <c r="E465" s="880" t="s">
        <v>13</v>
      </c>
      <c r="F465" s="911" t="s">
        <v>14</v>
      </c>
      <c r="G465" s="912"/>
      <c r="H465" s="912"/>
      <c r="I465" s="913"/>
      <c r="J465" s="880" t="s">
        <v>4</v>
      </c>
      <c r="K465" s="880" t="s">
        <v>15</v>
      </c>
      <c r="L465" s="880" t="s">
        <v>5</v>
      </c>
      <c r="M465" s="880" t="s">
        <v>6</v>
      </c>
      <c r="N465" s="880" t="s">
        <v>16</v>
      </c>
      <c r="O465" s="892" t="s">
        <v>17</v>
      </c>
      <c r="P465" s="880" t="s">
        <v>25</v>
      </c>
      <c r="Q465" s="890" t="s">
        <v>26</v>
      </c>
      <c r="S465" s="80"/>
      <c r="T465" s="80"/>
    </row>
    <row r="466" spans="1:20" s="2" customFormat="1" ht="33.75">
      <c r="A466" s="886"/>
      <c r="B466" s="909"/>
      <c r="C466" s="888"/>
      <c r="D466" s="881"/>
      <c r="E466" s="881"/>
      <c r="F466" s="36" t="s">
        <v>18</v>
      </c>
      <c r="G466" s="36" t="s">
        <v>19</v>
      </c>
      <c r="H466" s="36" t="s">
        <v>20</v>
      </c>
      <c r="I466" s="36" t="s">
        <v>21</v>
      </c>
      <c r="J466" s="881"/>
      <c r="K466" s="881"/>
      <c r="L466" s="881"/>
      <c r="M466" s="881"/>
      <c r="N466" s="881"/>
      <c r="O466" s="893"/>
      <c r="P466" s="881"/>
      <c r="Q466" s="891"/>
      <c r="S466" s="80"/>
      <c r="T466" s="80"/>
    </row>
    <row r="467" spans="1:20" s="3" customFormat="1" ht="10.5" customHeight="1" thickBot="1">
      <c r="A467" s="887"/>
      <c r="B467" s="910"/>
      <c r="C467" s="889"/>
      <c r="D467" s="52" t="s">
        <v>7</v>
      </c>
      <c r="E467" s="52" t="s">
        <v>8</v>
      </c>
      <c r="F467" s="52" t="s">
        <v>9</v>
      </c>
      <c r="G467" s="52" t="s">
        <v>9</v>
      </c>
      <c r="H467" s="52" t="s">
        <v>9</v>
      </c>
      <c r="I467" s="52" t="s">
        <v>9</v>
      </c>
      <c r="J467" s="52" t="s">
        <v>22</v>
      </c>
      <c r="K467" s="52" t="s">
        <v>9</v>
      </c>
      <c r="L467" s="52" t="s">
        <v>22</v>
      </c>
      <c r="M467" s="52" t="s">
        <v>23</v>
      </c>
      <c r="N467" s="52" t="s">
        <v>10</v>
      </c>
      <c r="O467" s="52" t="s">
        <v>24</v>
      </c>
      <c r="P467" s="53" t="s">
        <v>27</v>
      </c>
      <c r="Q467" s="54" t="s">
        <v>28</v>
      </c>
      <c r="S467" s="80"/>
      <c r="T467" s="80"/>
    </row>
    <row r="468" spans="1:20" s="88" customFormat="1" ht="12.75">
      <c r="A468" s="1031" t="s">
        <v>11</v>
      </c>
      <c r="B468" s="303">
        <v>1</v>
      </c>
      <c r="C468" s="376" t="s">
        <v>466</v>
      </c>
      <c r="D468" s="585">
        <v>58</v>
      </c>
      <c r="E468" s="31">
        <v>1977</v>
      </c>
      <c r="F468" s="240">
        <f aca="true" t="shared" si="85" ref="F468:F507">G468+H468+I468</f>
        <v>57.412999000000006</v>
      </c>
      <c r="G468" s="486">
        <v>5.478114000000001</v>
      </c>
      <c r="H468" s="486">
        <v>9.52</v>
      </c>
      <c r="I468" s="486">
        <v>42.414885000000005</v>
      </c>
      <c r="J468" s="495">
        <v>2706.9700000000003</v>
      </c>
      <c r="K468" s="486">
        <v>42.414885000000005</v>
      </c>
      <c r="L468" s="495">
        <v>2706.9700000000003</v>
      </c>
      <c r="M468" s="122">
        <f aca="true" t="shared" si="86" ref="M468:M507">K468/L468</f>
        <v>0.015668768032154032</v>
      </c>
      <c r="N468" s="121">
        <v>313.375</v>
      </c>
      <c r="O468" s="121">
        <f aca="true" t="shared" si="87" ref="O468:O507">M468*N468</f>
        <v>4.91020018207627</v>
      </c>
      <c r="P468" s="121">
        <f aca="true" t="shared" si="88" ref="P468:P507">M468*60*1000</f>
        <v>940.126081929242</v>
      </c>
      <c r="Q468" s="239">
        <f aca="true" t="shared" si="89" ref="Q468:Q507">P468*N468/1000</f>
        <v>294.6120109245762</v>
      </c>
      <c r="R468" s="92"/>
      <c r="S468" s="80"/>
      <c r="T468" s="80"/>
    </row>
    <row r="469" spans="1:20" s="88" customFormat="1" ht="12.75">
      <c r="A469" s="1032"/>
      <c r="B469" s="116">
        <v>2</v>
      </c>
      <c r="C469" s="376" t="s">
        <v>467</v>
      </c>
      <c r="D469" s="585">
        <v>39</v>
      </c>
      <c r="E469" s="31">
        <v>1990</v>
      </c>
      <c r="F469" s="240">
        <f t="shared" si="85"/>
        <v>52.517494000000006</v>
      </c>
      <c r="G469" s="486">
        <v>5.818896</v>
      </c>
      <c r="H469" s="486">
        <v>6.4</v>
      </c>
      <c r="I469" s="486">
        <v>40.298598000000005</v>
      </c>
      <c r="J469" s="495">
        <v>2294.05</v>
      </c>
      <c r="K469" s="486">
        <v>40.298598000000005</v>
      </c>
      <c r="L469" s="495">
        <v>2294.05</v>
      </c>
      <c r="M469" s="122">
        <f t="shared" si="86"/>
        <v>0.01756657352716811</v>
      </c>
      <c r="N469" s="121">
        <v>313.375</v>
      </c>
      <c r="O469" s="121">
        <f t="shared" si="87"/>
        <v>5.504924979076306</v>
      </c>
      <c r="P469" s="121">
        <f t="shared" si="88"/>
        <v>1053.9944116300865</v>
      </c>
      <c r="Q469" s="123">
        <f t="shared" si="89"/>
        <v>330.2954987445783</v>
      </c>
      <c r="S469" s="80"/>
      <c r="T469" s="80"/>
    </row>
    <row r="470" spans="1:20" s="88" customFormat="1" ht="12.75">
      <c r="A470" s="1032"/>
      <c r="B470" s="116">
        <v>3</v>
      </c>
      <c r="C470" s="376" t="s">
        <v>468</v>
      </c>
      <c r="D470" s="585">
        <v>59</v>
      </c>
      <c r="E470" s="31">
        <v>1974</v>
      </c>
      <c r="F470" s="240">
        <f t="shared" si="85"/>
        <v>67.433993</v>
      </c>
      <c r="G470" s="486">
        <v>8.576058000000002</v>
      </c>
      <c r="H470" s="486">
        <v>9.6</v>
      </c>
      <c r="I470" s="486">
        <v>49.257934999999996</v>
      </c>
      <c r="J470" s="495">
        <v>2729.69</v>
      </c>
      <c r="K470" s="486">
        <v>49.257934999999996</v>
      </c>
      <c r="L470" s="495">
        <v>2729.69</v>
      </c>
      <c r="M470" s="122">
        <f t="shared" si="86"/>
        <v>0.018045248727877522</v>
      </c>
      <c r="N470" s="121">
        <v>313.375</v>
      </c>
      <c r="O470" s="121">
        <f t="shared" si="87"/>
        <v>5.654929820098618</v>
      </c>
      <c r="P470" s="121">
        <f t="shared" si="88"/>
        <v>1082.7149236726514</v>
      </c>
      <c r="Q470" s="123">
        <f t="shared" si="89"/>
        <v>339.2957892059171</v>
      </c>
      <c r="S470" s="80"/>
      <c r="T470" s="80"/>
    </row>
    <row r="471" spans="1:20" s="88" customFormat="1" ht="12.75" customHeight="1">
      <c r="A471" s="1032"/>
      <c r="B471" s="116">
        <v>4</v>
      </c>
      <c r="C471" s="376" t="s">
        <v>469</v>
      </c>
      <c r="D471" s="585">
        <v>39</v>
      </c>
      <c r="E471" s="31">
        <v>1990</v>
      </c>
      <c r="F471" s="240">
        <f t="shared" si="85"/>
        <v>51.407007</v>
      </c>
      <c r="G471" s="486">
        <v>5.033904</v>
      </c>
      <c r="H471" s="486">
        <v>6.24</v>
      </c>
      <c r="I471" s="486">
        <v>40.133103</v>
      </c>
      <c r="J471" s="495">
        <v>2285.64</v>
      </c>
      <c r="K471" s="486">
        <v>40.133103</v>
      </c>
      <c r="L471" s="495">
        <v>2218.03</v>
      </c>
      <c r="M471" s="122">
        <f t="shared" si="86"/>
        <v>0.0180940307389891</v>
      </c>
      <c r="N471" s="121">
        <v>313.375</v>
      </c>
      <c r="O471" s="121">
        <f t="shared" si="87"/>
        <v>5.670216882830709</v>
      </c>
      <c r="P471" s="121">
        <f t="shared" si="88"/>
        <v>1085.641844339346</v>
      </c>
      <c r="Q471" s="123">
        <f t="shared" si="89"/>
        <v>340.21301296984257</v>
      </c>
      <c r="S471" s="80"/>
      <c r="T471" s="80"/>
    </row>
    <row r="472" spans="1:20" s="88" customFormat="1" ht="12.75">
      <c r="A472" s="1032"/>
      <c r="B472" s="116">
        <v>5</v>
      </c>
      <c r="C472" s="376" t="s">
        <v>470</v>
      </c>
      <c r="D472" s="585">
        <v>49</v>
      </c>
      <c r="E472" s="31">
        <v>1969</v>
      </c>
      <c r="F472" s="240">
        <f t="shared" si="85"/>
        <v>60.300674</v>
      </c>
      <c r="G472" s="486">
        <v>5.4172709999999995</v>
      </c>
      <c r="H472" s="486">
        <v>7.84</v>
      </c>
      <c r="I472" s="486">
        <v>47.043403</v>
      </c>
      <c r="J472" s="495">
        <v>2600.39</v>
      </c>
      <c r="K472" s="486">
        <v>47.043403</v>
      </c>
      <c r="L472" s="495">
        <v>2528.6</v>
      </c>
      <c r="M472" s="122">
        <f t="shared" si="86"/>
        <v>0.018604525429091197</v>
      </c>
      <c r="N472" s="121">
        <v>313.375</v>
      </c>
      <c r="O472" s="121">
        <f t="shared" si="87"/>
        <v>5.830193156341454</v>
      </c>
      <c r="P472" s="121">
        <f t="shared" si="88"/>
        <v>1116.2715257454718</v>
      </c>
      <c r="Q472" s="123">
        <f t="shared" si="89"/>
        <v>349.8115893804872</v>
      </c>
      <c r="S472" s="80"/>
      <c r="T472" s="80"/>
    </row>
    <row r="473" spans="1:20" s="88" customFormat="1" ht="12.75">
      <c r="A473" s="1032"/>
      <c r="B473" s="116">
        <v>6</v>
      </c>
      <c r="C473" s="376" t="s">
        <v>471</v>
      </c>
      <c r="D473" s="585">
        <v>30</v>
      </c>
      <c r="E473" s="31">
        <v>1974</v>
      </c>
      <c r="F473" s="240">
        <f t="shared" si="85"/>
        <v>41.606001000000006</v>
      </c>
      <c r="G473" s="486">
        <v>2.76777</v>
      </c>
      <c r="H473" s="486">
        <v>4.8</v>
      </c>
      <c r="I473" s="486">
        <v>34.038231</v>
      </c>
      <c r="J473" s="495">
        <v>1743.53</v>
      </c>
      <c r="K473" s="486">
        <v>34.038231</v>
      </c>
      <c r="L473" s="495">
        <v>1743.53</v>
      </c>
      <c r="M473" s="122">
        <f t="shared" si="86"/>
        <v>0.01952259553893538</v>
      </c>
      <c r="N473" s="121">
        <v>313.375</v>
      </c>
      <c r="O473" s="121">
        <f t="shared" si="87"/>
        <v>6.117893377013875</v>
      </c>
      <c r="P473" s="121">
        <f t="shared" si="88"/>
        <v>1171.3557323361229</v>
      </c>
      <c r="Q473" s="123">
        <f t="shared" si="89"/>
        <v>367.0736026208325</v>
      </c>
      <c r="S473" s="80"/>
      <c r="T473" s="80"/>
    </row>
    <row r="474" spans="1:20" s="88" customFormat="1" ht="12.75" customHeight="1">
      <c r="A474" s="1032"/>
      <c r="B474" s="116">
        <v>7</v>
      </c>
      <c r="C474" s="376" t="s">
        <v>472</v>
      </c>
      <c r="D474" s="585">
        <v>50</v>
      </c>
      <c r="E474" s="31">
        <v>1971</v>
      </c>
      <c r="F474" s="240">
        <f t="shared" si="85"/>
        <v>63.04100100000001</v>
      </c>
      <c r="G474" s="486">
        <v>4.003500000000001</v>
      </c>
      <c r="H474" s="486">
        <v>8</v>
      </c>
      <c r="I474" s="486">
        <v>51.037501000000006</v>
      </c>
      <c r="J474" s="495">
        <v>2564.8</v>
      </c>
      <c r="K474" s="486">
        <v>51.037501000000006</v>
      </c>
      <c r="L474" s="495">
        <v>2564.8</v>
      </c>
      <c r="M474" s="122">
        <f t="shared" si="86"/>
        <v>0.019899212804117283</v>
      </c>
      <c r="N474" s="121">
        <v>313.375</v>
      </c>
      <c r="O474" s="121">
        <f t="shared" si="87"/>
        <v>6.235915812490253</v>
      </c>
      <c r="P474" s="121">
        <f t="shared" si="88"/>
        <v>1193.952768247037</v>
      </c>
      <c r="Q474" s="123">
        <f t="shared" si="89"/>
        <v>374.1549487494152</v>
      </c>
      <c r="S474" s="80"/>
      <c r="T474" s="80"/>
    </row>
    <row r="475" spans="1:20" s="88" customFormat="1" ht="12.75" customHeight="1">
      <c r="A475" s="1032"/>
      <c r="B475" s="116">
        <v>8</v>
      </c>
      <c r="C475" s="376" t="s">
        <v>473</v>
      </c>
      <c r="D475" s="585">
        <v>58</v>
      </c>
      <c r="E475" s="31">
        <v>1991</v>
      </c>
      <c r="F475" s="240">
        <f t="shared" si="85"/>
        <v>62.026003</v>
      </c>
      <c r="G475" s="486">
        <v>3.614472</v>
      </c>
      <c r="H475" s="486">
        <v>9.44</v>
      </c>
      <c r="I475" s="486">
        <v>48.971531000000006</v>
      </c>
      <c r="J475" s="495">
        <v>2439.79</v>
      </c>
      <c r="K475" s="486">
        <v>48.971531000000006</v>
      </c>
      <c r="L475" s="495">
        <v>2439.79</v>
      </c>
      <c r="M475" s="122">
        <f t="shared" si="86"/>
        <v>0.020072027100693095</v>
      </c>
      <c r="N475" s="121">
        <v>313.375</v>
      </c>
      <c r="O475" s="121">
        <f t="shared" si="87"/>
        <v>6.290071492679699</v>
      </c>
      <c r="P475" s="121">
        <f t="shared" si="88"/>
        <v>1204.3216260415857</v>
      </c>
      <c r="Q475" s="123">
        <f t="shared" si="89"/>
        <v>377.40428956078193</v>
      </c>
      <c r="S475" s="80"/>
      <c r="T475" s="80"/>
    </row>
    <row r="476" spans="1:20" s="88" customFormat="1" ht="12.75">
      <c r="A476" s="1032"/>
      <c r="B476" s="116">
        <v>9</v>
      </c>
      <c r="C476" s="376" t="s">
        <v>474</v>
      </c>
      <c r="D476" s="585">
        <v>82</v>
      </c>
      <c r="E476" s="31">
        <v>1995</v>
      </c>
      <c r="F476" s="240">
        <f t="shared" si="85"/>
        <v>125.477002</v>
      </c>
      <c r="G476" s="486">
        <v>9.843</v>
      </c>
      <c r="H476" s="486">
        <v>14.4</v>
      </c>
      <c r="I476" s="486">
        <v>101.234002</v>
      </c>
      <c r="J476" s="495">
        <v>5009.12</v>
      </c>
      <c r="K476" s="486">
        <v>101.234002</v>
      </c>
      <c r="L476" s="495">
        <v>5009.12</v>
      </c>
      <c r="M476" s="122">
        <f t="shared" si="86"/>
        <v>0.02020993747404734</v>
      </c>
      <c r="N476" s="121">
        <v>313.375</v>
      </c>
      <c r="O476" s="121">
        <f t="shared" si="87"/>
        <v>6.333289155929585</v>
      </c>
      <c r="P476" s="121">
        <f t="shared" si="88"/>
        <v>1212.5962484428405</v>
      </c>
      <c r="Q476" s="123">
        <f t="shared" si="89"/>
        <v>379.99734935577516</v>
      </c>
      <c r="S476" s="80"/>
      <c r="T476" s="80"/>
    </row>
    <row r="477" spans="1:20" s="88" customFormat="1" ht="13.5" thickBot="1">
      <c r="A477" s="1033"/>
      <c r="B477" s="117">
        <v>10</v>
      </c>
      <c r="C477" s="377" t="s">
        <v>475</v>
      </c>
      <c r="D477" s="614">
        <v>50</v>
      </c>
      <c r="E477" s="57">
        <v>1971</v>
      </c>
      <c r="F477" s="203">
        <f t="shared" si="85"/>
        <v>66.751999</v>
      </c>
      <c r="G477" s="487">
        <v>5.712000000000001</v>
      </c>
      <c r="H477" s="487">
        <v>8</v>
      </c>
      <c r="I477" s="487">
        <v>53.039999</v>
      </c>
      <c r="J477" s="496">
        <v>2601.9</v>
      </c>
      <c r="K477" s="487">
        <v>53.039999</v>
      </c>
      <c r="L477" s="496">
        <v>2601.9</v>
      </c>
      <c r="M477" s="125">
        <f t="shared" si="86"/>
        <v>0.020385102809485377</v>
      </c>
      <c r="N477" s="124">
        <v>313.375</v>
      </c>
      <c r="O477" s="124">
        <f t="shared" si="87"/>
        <v>6.38818159292248</v>
      </c>
      <c r="P477" s="124">
        <f t="shared" si="88"/>
        <v>1223.1061685691227</v>
      </c>
      <c r="Q477" s="126">
        <f t="shared" si="89"/>
        <v>383.2908955753488</v>
      </c>
      <c r="S477" s="80"/>
      <c r="T477" s="80"/>
    </row>
    <row r="478" spans="1:20" s="88" customFormat="1" ht="11.25" customHeight="1">
      <c r="A478" s="995" t="s">
        <v>33</v>
      </c>
      <c r="B478" s="304">
        <v>1</v>
      </c>
      <c r="C478" s="610" t="s">
        <v>476</v>
      </c>
      <c r="D478" s="611">
        <v>98</v>
      </c>
      <c r="E478" s="60">
        <v>1974</v>
      </c>
      <c r="F478" s="252">
        <f t="shared" si="85"/>
        <v>97.900001</v>
      </c>
      <c r="G478" s="612">
        <v>6.348174</v>
      </c>
      <c r="H478" s="612">
        <v>16</v>
      </c>
      <c r="I478" s="612">
        <v>75.551827</v>
      </c>
      <c r="J478" s="613">
        <v>3705.7000000000003</v>
      </c>
      <c r="K478" s="612">
        <v>75.551827</v>
      </c>
      <c r="L478" s="613">
        <v>3705.7000000000003</v>
      </c>
      <c r="M478" s="136">
        <f t="shared" si="86"/>
        <v>0.020388004155760045</v>
      </c>
      <c r="N478" s="137">
        <v>313.375</v>
      </c>
      <c r="O478" s="137">
        <f t="shared" si="87"/>
        <v>6.389090802311304</v>
      </c>
      <c r="P478" s="137">
        <f t="shared" si="88"/>
        <v>1223.2802493456027</v>
      </c>
      <c r="Q478" s="157">
        <f t="shared" si="89"/>
        <v>383.3454481386782</v>
      </c>
      <c r="S478" s="80"/>
      <c r="T478" s="80"/>
    </row>
    <row r="479" spans="1:20" s="88" customFormat="1" ht="12.75" customHeight="1">
      <c r="A479" s="996"/>
      <c r="B479" s="120">
        <v>2</v>
      </c>
      <c r="C479" s="372" t="s">
        <v>477</v>
      </c>
      <c r="D479" s="572">
        <v>48</v>
      </c>
      <c r="E479" s="35">
        <v>1970</v>
      </c>
      <c r="F479" s="248">
        <f t="shared" si="85"/>
        <v>62.02185</v>
      </c>
      <c r="G479" s="488">
        <v>4.111314</v>
      </c>
      <c r="H479" s="488">
        <v>7.68</v>
      </c>
      <c r="I479" s="488">
        <v>50.230536</v>
      </c>
      <c r="J479" s="497">
        <v>2597.12</v>
      </c>
      <c r="K479" s="488">
        <v>50.230536</v>
      </c>
      <c r="L479" s="497">
        <v>2461.48</v>
      </c>
      <c r="M479" s="128">
        <f t="shared" si="86"/>
        <v>0.020406639907697807</v>
      </c>
      <c r="N479" s="127">
        <v>313.375</v>
      </c>
      <c r="O479" s="127">
        <f t="shared" si="87"/>
        <v>6.3949307810748</v>
      </c>
      <c r="P479" s="127">
        <f t="shared" si="88"/>
        <v>1224.3983944618683</v>
      </c>
      <c r="Q479" s="155">
        <f t="shared" si="89"/>
        <v>383.695846864488</v>
      </c>
      <c r="S479" s="80"/>
      <c r="T479" s="80"/>
    </row>
    <row r="480" spans="1:20" s="88" customFormat="1" ht="12.75" customHeight="1">
      <c r="A480" s="996"/>
      <c r="B480" s="120">
        <v>3</v>
      </c>
      <c r="C480" s="372" t="s">
        <v>478</v>
      </c>
      <c r="D480" s="572">
        <v>50</v>
      </c>
      <c r="E480" s="35">
        <v>1973</v>
      </c>
      <c r="F480" s="248">
        <f t="shared" si="85"/>
        <v>64.599998</v>
      </c>
      <c r="G480" s="488">
        <v>4.384572</v>
      </c>
      <c r="H480" s="488">
        <v>8</v>
      </c>
      <c r="I480" s="488">
        <v>52.215426</v>
      </c>
      <c r="J480" s="497">
        <v>2557.44</v>
      </c>
      <c r="K480" s="488">
        <v>52.215426</v>
      </c>
      <c r="L480" s="497">
        <v>2557.44</v>
      </c>
      <c r="M480" s="128">
        <f t="shared" si="86"/>
        <v>0.0204170678490991</v>
      </c>
      <c r="N480" s="127">
        <v>313.375</v>
      </c>
      <c r="O480" s="127">
        <f t="shared" si="87"/>
        <v>6.398198637211431</v>
      </c>
      <c r="P480" s="127">
        <f t="shared" si="88"/>
        <v>1225.024070945946</v>
      </c>
      <c r="Q480" s="155">
        <f t="shared" si="89"/>
        <v>383.89191823268584</v>
      </c>
      <c r="S480" s="80"/>
      <c r="T480" s="80"/>
    </row>
    <row r="481" spans="1:20" s="88" customFormat="1" ht="12.75" customHeight="1">
      <c r="A481" s="996"/>
      <c r="B481" s="120">
        <v>4</v>
      </c>
      <c r="C481" s="372" t="s">
        <v>479</v>
      </c>
      <c r="D481" s="572">
        <v>40</v>
      </c>
      <c r="E481" s="35">
        <v>1986</v>
      </c>
      <c r="F481" s="248">
        <f t="shared" si="85"/>
        <v>58.198999</v>
      </c>
      <c r="G481" s="488">
        <v>4.566897</v>
      </c>
      <c r="H481" s="488">
        <v>6.4</v>
      </c>
      <c r="I481" s="488">
        <v>47.232102000000005</v>
      </c>
      <c r="J481" s="497">
        <v>2285.9500000000003</v>
      </c>
      <c r="K481" s="488">
        <v>47.232102000000005</v>
      </c>
      <c r="L481" s="497">
        <v>2285.9500000000003</v>
      </c>
      <c r="M481" s="128">
        <f t="shared" si="86"/>
        <v>0.020661913865132657</v>
      </c>
      <c r="N481" s="127">
        <v>313.375</v>
      </c>
      <c r="O481" s="127">
        <f t="shared" si="87"/>
        <v>6.474927257485946</v>
      </c>
      <c r="P481" s="127">
        <f t="shared" si="88"/>
        <v>1239.7148319079595</v>
      </c>
      <c r="Q481" s="155">
        <f t="shared" si="89"/>
        <v>388.4956354491568</v>
      </c>
      <c r="S481" s="80"/>
      <c r="T481" s="80"/>
    </row>
    <row r="482" spans="1:20" s="88" customFormat="1" ht="12.75" customHeight="1">
      <c r="A482" s="996"/>
      <c r="B482" s="120">
        <v>5</v>
      </c>
      <c r="C482" s="372" t="s">
        <v>480</v>
      </c>
      <c r="D482" s="572">
        <v>59</v>
      </c>
      <c r="E482" s="35">
        <v>1991</v>
      </c>
      <c r="F482" s="248">
        <f t="shared" si="85"/>
        <v>65.535997</v>
      </c>
      <c r="G482" s="488">
        <v>5.053692</v>
      </c>
      <c r="H482" s="488">
        <v>9.6</v>
      </c>
      <c r="I482" s="488">
        <v>50.882304999999995</v>
      </c>
      <c r="J482" s="497">
        <v>2442.55</v>
      </c>
      <c r="K482" s="488">
        <v>50.882304999999995</v>
      </c>
      <c r="L482" s="497">
        <v>2442.55</v>
      </c>
      <c r="M482" s="128">
        <f t="shared" si="86"/>
        <v>0.020831632924607477</v>
      </c>
      <c r="N482" s="127">
        <v>313.375</v>
      </c>
      <c r="O482" s="127">
        <f t="shared" si="87"/>
        <v>6.528112967748868</v>
      </c>
      <c r="P482" s="127">
        <f t="shared" si="88"/>
        <v>1249.8979754764484</v>
      </c>
      <c r="Q482" s="155">
        <f t="shared" si="89"/>
        <v>391.686778064932</v>
      </c>
      <c r="S482" s="80"/>
      <c r="T482" s="80"/>
    </row>
    <row r="483" spans="1:20" s="88" customFormat="1" ht="12.75" customHeight="1">
      <c r="A483" s="996"/>
      <c r="B483" s="120">
        <v>6</v>
      </c>
      <c r="C483" s="372" t="s">
        <v>481</v>
      </c>
      <c r="D483" s="572">
        <v>51</v>
      </c>
      <c r="E483" s="35">
        <v>1972</v>
      </c>
      <c r="F483" s="248">
        <f t="shared" si="85"/>
        <v>67.398</v>
      </c>
      <c r="G483" s="488">
        <v>4.9215</v>
      </c>
      <c r="H483" s="488">
        <v>8</v>
      </c>
      <c r="I483" s="488">
        <v>54.476499999999994</v>
      </c>
      <c r="J483" s="497">
        <v>2608.15</v>
      </c>
      <c r="K483" s="488">
        <v>54.476499999999994</v>
      </c>
      <c r="L483" s="497">
        <v>2608.15</v>
      </c>
      <c r="M483" s="128">
        <f t="shared" si="86"/>
        <v>0.02088702720319</v>
      </c>
      <c r="N483" s="127">
        <v>313.375</v>
      </c>
      <c r="O483" s="127">
        <f t="shared" si="87"/>
        <v>6.545472149799666</v>
      </c>
      <c r="P483" s="127">
        <f t="shared" si="88"/>
        <v>1253.2216321913997</v>
      </c>
      <c r="Q483" s="155">
        <f t="shared" si="89"/>
        <v>392.7283289879799</v>
      </c>
      <c r="S483" s="80"/>
      <c r="T483" s="80"/>
    </row>
    <row r="484" spans="1:20" s="88" customFormat="1" ht="12.75" customHeight="1">
      <c r="A484" s="996"/>
      <c r="B484" s="120">
        <v>7</v>
      </c>
      <c r="C484" s="372" t="s">
        <v>482</v>
      </c>
      <c r="D484" s="572">
        <v>30</v>
      </c>
      <c r="E484" s="35">
        <v>1990</v>
      </c>
      <c r="F484" s="248">
        <f t="shared" si="85"/>
        <v>42.391998</v>
      </c>
      <c r="G484" s="488">
        <v>3.6975000000000002</v>
      </c>
      <c r="H484" s="488">
        <v>4.8</v>
      </c>
      <c r="I484" s="488">
        <v>33.894498</v>
      </c>
      <c r="J484" s="497">
        <v>1613.04</v>
      </c>
      <c r="K484" s="488">
        <v>33.894498</v>
      </c>
      <c r="L484" s="497">
        <v>1613.04</v>
      </c>
      <c r="M484" s="128">
        <f t="shared" si="86"/>
        <v>0.021012806873977087</v>
      </c>
      <c r="N484" s="127">
        <v>313.375</v>
      </c>
      <c r="O484" s="127">
        <f t="shared" si="87"/>
        <v>6.58488835413257</v>
      </c>
      <c r="P484" s="127">
        <f t="shared" si="88"/>
        <v>1260.768412438625</v>
      </c>
      <c r="Q484" s="155">
        <f t="shared" si="89"/>
        <v>395.0933012479541</v>
      </c>
      <c r="S484" s="80"/>
      <c r="T484" s="80"/>
    </row>
    <row r="485" spans="1:20" s="88" customFormat="1" ht="12.75" customHeight="1">
      <c r="A485" s="996"/>
      <c r="B485" s="120">
        <v>8</v>
      </c>
      <c r="C485" s="372" t="s">
        <v>483</v>
      </c>
      <c r="D485" s="572">
        <v>77</v>
      </c>
      <c r="E485" s="35">
        <v>1971</v>
      </c>
      <c r="F485" s="248">
        <f t="shared" si="85"/>
        <v>102.927197</v>
      </c>
      <c r="G485" s="488">
        <v>9.171432</v>
      </c>
      <c r="H485" s="488">
        <v>12.48</v>
      </c>
      <c r="I485" s="488">
        <v>81.275765</v>
      </c>
      <c r="J485" s="497">
        <v>3898.9700000000003</v>
      </c>
      <c r="K485" s="488">
        <v>81.275765</v>
      </c>
      <c r="L485" s="497">
        <v>3779.05</v>
      </c>
      <c r="M485" s="128">
        <f t="shared" si="86"/>
        <v>0.021506930313173946</v>
      </c>
      <c r="N485" s="127">
        <v>313.375</v>
      </c>
      <c r="O485" s="127">
        <f t="shared" si="87"/>
        <v>6.739734286890886</v>
      </c>
      <c r="P485" s="127">
        <f t="shared" si="88"/>
        <v>1290.4158187904366</v>
      </c>
      <c r="Q485" s="155">
        <f t="shared" si="89"/>
        <v>404.38405721345305</v>
      </c>
      <c r="S485" s="80"/>
      <c r="T485" s="80"/>
    </row>
    <row r="486" spans="1:20" s="88" customFormat="1" ht="13.5" customHeight="1">
      <c r="A486" s="996"/>
      <c r="B486" s="120">
        <v>9</v>
      </c>
      <c r="C486" s="372" t="s">
        <v>484</v>
      </c>
      <c r="D486" s="572">
        <v>50</v>
      </c>
      <c r="E486" s="35">
        <v>1970</v>
      </c>
      <c r="F486" s="248">
        <f t="shared" si="85"/>
        <v>69.256002</v>
      </c>
      <c r="G486" s="488">
        <v>3.8505000000000003</v>
      </c>
      <c r="H486" s="488">
        <v>8</v>
      </c>
      <c r="I486" s="488">
        <v>57.405502</v>
      </c>
      <c r="J486" s="497">
        <v>2636.4700000000003</v>
      </c>
      <c r="K486" s="488">
        <v>57.405502</v>
      </c>
      <c r="L486" s="497">
        <v>2636.4700000000003</v>
      </c>
      <c r="M486" s="128">
        <f t="shared" si="86"/>
        <v>0.02177362230558284</v>
      </c>
      <c r="N486" s="127">
        <v>313.375</v>
      </c>
      <c r="O486" s="127">
        <f t="shared" si="87"/>
        <v>6.823308890012022</v>
      </c>
      <c r="P486" s="127">
        <f t="shared" si="88"/>
        <v>1306.4173383349705</v>
      </c>
      <c r="Q486" s="155">
        <f t="shared" si="89"/>
        <v>409.39853340072136</v>
      </c>
      <c r="S486" s="80"/>
      <c r="T486" s="80"/>
    </row>
    <row r="487" spans="1:20" s="88" customFormat="1" ht="12.75" customHeight="1" thickBot="1">
      <c r="A487" s="997"/>
      <c r="B487" s="305">
        <v>10</v>
      </c>
      <c r="C487" s="373" t="s">
        <v>485</v>
      </c>
      <c r="D487" s="619">
        <v>49</v>
      </c>
      <c r="E487" s="37">
        <v>1984</v>
      </c>
      <c r="F487" s="250">
        <f t="shared" si="85"/>
        <v>66.980069</v>
      </c>
      <c r="G487" s="489">
        <v>4.03461</v>
      </c>
      <c r="H487" s="489">
        <v>7.84</v>
      </c>
      <c r="I487" s="489">
        <v>55.105459</v>
      </c>
      <c r="J487" s="498">
        <v>2586</v>
      </c>
      <c r="K487" s="489">
        <v>55.105459</v>
      </c>
      <c r="L487" s="498">
        <v>2521.39</v>
      </c>
      <c r="M487" s="205">
        <f t="shared" si="86"/>
        <v>0.0218551905893178</v>
      </c>
      <c r="N487" s="158">
        <v>313.375</v>
      </c>
      <c r="O487" s="158">
        <f t="shared" si="87"/>
        <v>6.8488703509274655</v>
      </c>
      <c r="P487" s="158">
        <f t="shared" si="88"/>
        <v>1311.3114353590681</v>
      </c>
      <c r="Q487" s="159">
        <f t="shared" si="89"/>
        <v>410.932221055648</v>
      </c>
      <c r="S487" s="80"/>
      <c r="T487" s="80"/>
    </row>
    <row r="488" spans="1:20" s="88" customFormat="1" ht="12.75">
      <c r="A488" s="1003" t="s">
        <v>30</v>
      </c>
      <c r="B488" s="306">
        <v>1</v>
      </c>
      <c r="C488" s="615" t="s">
        <v>486</v>
      </c>
      <c r="D488" s="616">
        <v>20</v>
      </c>
      <c r="E488" s="262">
        <v>1985</v>
      </c>
      <c r="F488" s="325">
        <f t="shared" si="85"/>
        <v>37.185</v>
      </c>
      <c r="G488" s="617">
        <v>2.091</v>
      </c>
      <c r="H488" s="617">
        <v>3.2</v>
      </c>
      <c r="I488" s="617">
        <v>31.894000000000002</v>
      </c>
      <c r="J488" s="618">
        <v>1066.27</v>
      </c>
      <c r="K488" s="617">
        <v>31.894000000000002</v>
      </c>
      <c r="L488" s="618">
        <v>1066.27</v>
      </c>
      <c r="M488" s="268">
        <f t="shared" si="86"/>
        <v>0.02991174843144795</v>
      </c>
      <c r="N488" s="267">
        <v>313.375</v>
      </c>
      <c r="O488" s="267">
        <f t="shared" si="87"/>
        <v>9.373594164705</v>
      </c>
      <c r="P488" s="267">
        <f t="shared" si="88"/>
        <v>1794.704905886877</v>
      </c>
      <c r="Q488" s="269">
        <f t="shared" si="89"/>
        <v>562.4156498823</v>
      </c>
      <c r="S488" s="80"/>
      <c r="T488" s="80"/>
    </row>
    <row r="489" spans="1:20" s="88" customFormat="1" ht="12.75">
      <c r="A489" s="939"/>
      <c r="B489" s="298">
        <v>2</v>
      </c>
      <c r="C489" s="386" t="s">
        <v>487</v>
      </c>
      <c r="D489" s="591">
        <v>6</v>
      </c>
      <c r="E489" s="219">
        <v>1957</v>
      </c>
      <c r="F489" s="270">
        <f t="shared" si="85"/>
        <v>11.189838</v>
      </c>
      <c r="G489" s="490">
        <v>0.459</v>
      </c>
      <c r="H489" s="490">
        <v>0.96</v>
      </c>
      <c r="I489" s="490">
        <v>9.770838</v>
      </c>
      <c r="J489" s="499">
        <v>428.79</v>
      </c>
      <c r="K489" s="490">
        <v>9.770838</v>
      </c>
      <c r="L489" s="499">
        <v>324.95</v>
      </c>
      <c r="M489" s="272">
        <f t="shared" si="86"/>
        <v>0.03006874288352054</v>
      </c>
      <c r="N489" s="271">
        <v>313.375</v>
      </c>
      <c r="O489" s="271">
        <f t="shared" si="87"/>
        <v>9.42279230112325</v>
      </c>
      <c r="P489" s="271">
        <f t="shared" si="88"/>
        <v>1804.1245730112325</v>
      </c>
      <c r="Q489" s="273">
        <f t="shared" si="89"/>
        <v>565.367538067395</v>
      </c>
      <c r="S489" s="80"/>
      <c r="T489" s="80"/>
    </row>
    <row r="490" spans="1:20" s="88" customFormat="1" ht="12.75" customHeight="1">
      <c r="A490" s="939"/>
      <c r="B490" s="298">
        <v>3</v>
      </c>
      <c r="C490" s="386" t="s">
        <v>488</v>
      </c>
      <c r="D490" s="591">
        <v>16</v>
      </c>
      <c r="E490" s="219">
        <v>1989</v>
      </c>
      <c r="F490" s="270">
        <f t="shared" si="85"/>
        <v>32.748557</v>
      </c>
      <c r="G490" s="490">
        <v>0</v>
      </c>
      <c r="H490" s="490">
        <v>0</v>
      </c>
      <c r="I490" s="490">
        <v>32.748557</v>
      </c>
      <c r="J490" s="499">
        <v>1146.81</v>
      </c>
      <c r="K490" s="490">
        <v>32.748557</v>
      </c>
      <c r="L490" s="499">
        <v>1079.49</v>
      </c>
      <c r="M490" s="272">
        <f t="shared" si="86"/>
        <v>0.030337063798645654</v>
      </c>
      <c r="N490" s="271">
        <v>313.375</v>
      </c>
      <c r="O490" s="271">
        <f t="shared" si="87"/>
        <v>9.506877367900582</v>
      </c>
      <c r="P490" s="271">
        <f t="shared" si="88"/>
        <v>1820.2238279187393</v>
      </c>
      <c r="Q490" s="273">
        <f t="shared" si="89"/>
        <v>570.4126420740349</v>
      </c>
      <c r="S490" s="80"/>
      <c r="T490" s="80"/>
    </row>
    <row r="491" spans="1:20" s="88" customFormat="1" ht="12.75">
      <c r="A491" s="939"/>
      <c r="B491" s="298">
        <v>4</v>
      </c>
      <c r="C491" s="386" t="s">
        <v>489</v>
      </c>
      <c r="D491" s="591">
        <v>20</v>
      </c>
      <c r="E491" s="219">
        <v>1978</v>
      </c>
      <c r="F491" s="270">
        <f t="shared" si="85"/>
        <v>36.9</v>
      </c>
      <c r="G491" s="490">
        <v>1.734</v>
      </c>
      <c r="H491" s="490">
        <v>3.2</v>
      </c>
      <c r="I491" s="490">
        <v>31.966</v>
      </c>
      <c r="J491" s="499">
        <v>1051.1</v>
      </c>
      <c r="K491" s="490">
        <v>31.966</v>
      </c>
      <c r="L491" s="499">
        <v>1051.1</v>
      </c>
      <c r="M491" s="272">
        <f t="shared" si="86"/>
        <v>0.030411949386357152</v>
      </c>
      <c r="N491" s="271">
        <v>313.375</v>
      </c>
      <c r="O491" s="271">
        <f t="shared" si="87"/>
        <v>9.530344638949673</v>
      </c>
      <c r="P491" s="271">
        <f t="shared" si="88"/>
        <v>1824.716963181429</v>
      </c>
      <c r="Q491" s="273">
        <f t="shared" si="89"/>
        <v>571.8206783369803</v>
      </c>
      <c r="S491" s="80"/>
      <c r="T491" s="80"/>
    </row>
    <row r="492" spans="1:20" s="88" customFormat="1" ht="12.75">
      <c r="A492" s="939"/>
      <c r="B492" s="298">
        <v>5</v>
      </c>
      <c r="C492" s="386" t="s">
        <v>490</v>
      </c>
      <c r="D492" s="591">
        <v>47</v>
      </c>
      <c r="E492" s="219">
        <v>1964</v>
      </c>
      <c r="F492" s="270">
        <f t="shared" si="85"/>
        <v>30.232927</v>
      </c>
      <c r="G492" s="490">
        <v>3.1303289999999997</v>
      </c>
      <c r="H492" s="490">
        <v>0</v>
      </c>
      <c r="I492" s="490">
        <v>27.102598</v>
      </c>
      <c r="J492" s="499">
        <v>1215.63</v>
      </c>
      <c r="K492" s="490">
        <v>27.102598</v>
      </c>
      <c r="L492" s="499">
        <v>863.98</v>
      </c>
      <c r="M492" s="272">
        <f t="shared" si="86"/>
        <v>0.03136947383041274</v>
      </c>
      <c r="N492" s="271">
        <v>313.375</v>
      </c>
      <c r="O492" s="271">
        <f t="shared" si="87"/>
        <v>9.830408861605592</v>
      </c>
      <c r="P492" s="271">
        <f t="shared" si="88"/>
        <v>1882.1684298247644</v>
      </c>
      <c r="Q492" s="273">
        <f t="shared" si="89"/>
        <v>589.8245316963355</v>
      </c>
      <c r="S492" s="80"/>
      <c r="T492" s="80"/>
    </row>
    <row r="493" spans="1:20" s="88" customFormat="1" ht="12.75">
      <c r="A493" s="939"/>
      <c r="B493" s="298">
        <v>6</v>
      </c>
      <c r="C493" s="386" t="s">
        <v>491</v>
      </c>
      <c r="D493" s="591">
        <v>19</v>
      </c>
      <c r="E493" s="219">
        <v>1980</v>
      </c>
      <c r="F493" s="270">
        <f t="shared" si="85"/>
        <v>34.994817999999995</v>
      </c>
      <c r="G493" s="490">
        <v>1.173</v>
      </c>
      <c r="H493" s="490">
        <v>3.04</v>
      </c>
      <c r="I493" s="490">
        <v>30.781817999999998</v>
      </c>
      <c r="J493" s="499">
        <v>1049.46</v>
      </c>
      <c r="K493" s="490">
        <v>30.781817999999998</v>
      </c>
      <c r="L493" s="499">
        <v>972.23</v>
      </c>
      <c r="M493" s="272">
        <f t="shared" si="86"/>
        <v>0.0316610452259239</v>
      </c>
      <c r="N493" s="271">
        <v>313.375</v>
      </c>
      <c r="O493" s="271">
        <f t="shared" si="87"/>
        <v>9.921780047673904</v>
      </c>
      <c r="P493" s="271">
        <f t="shared" si="88"/>
        <v>1899.6627135554343</v>
      </c>
      <c r="Q493" s="273">
        <f t="shared" si="89"/>
        <v>595.3068028604341</v>
      </c>
      <c r="S493" s="80"/>
      <c r="T493" s="80"/>
    </row>
    <row r="494" spans="1:20" s="88" customFormat="1" ht="12.75">
      <c r="A494" s="939"/>
      <c r="B494" s="298">
        <v>7</v>
      </c>
      <c r="C494" s="386" t="s">
        <v>492</v>
      </c>
      <c r="D494" s="591">
        <v>8</v>
      </c>
      <c r="E494" s="219">
        <v>1976</v>
      </c>
      <c r="F494" s="270">
        <f t="shared" si="85"/>
        <v>16.400001</v>
      </c>
      <c r="G494" s="490">
        <v>0.7140000000000001</v>
      </c>
      <c r="H494" s="490">
        <v>0.08</v>
      </c>
      <c r="I494" s="490">
        <v>15.606001000000001</v>
      </c>
      <c r="J494" s="499">
        <v>486.54</v>
      </c>
      <c r="K494" s="490">
        <v>15.606001000000001</v>
      </c>
      <c r="L494" s="499">
        <v>486.54</v>
      </c>
      <c r="M494" s="272">
        <f t="shared" si="86"/>
        <v>0.032075473753442676</v>
      </c>
      <c r="N494" s="271">
        <v>313.375</v>
      </c>
      <c r="O494" s="271">
        <f t="shared" si="87"/>
        <v>10.051651587485098</v>
      </c>
      <c r="P494" s="271">
        <f t="shared" si="88"/>
        <v>1924.5284252065605</v>
      </c>
      <c r="Q494" s="273">
        <f t="shared" si="89"/>
        <v>603.099095249106</v>
      </c>
      <c r="S494" s="80"/>
      <c r="T494" s="80"/>
    </row>
    <row r="495" spans="1:20" s="88" customFormat="1" ht="12.75">
      <c r="A495" s="939"/>
      <c r="B495" s="298">
        <v>8</v>
      </c>
      <c r="C495" s="386" t="s">
        <v>493</v>
      </c>
      <c r="D495" s="591">
        <v>12</v>
      </c>
      <c r="E495" s="219">
        <v>1976</v>
      </c>
      <c r="F495" s="270">
        <f t="shared" si="85"/>
        <v>17.699999</v>
      </c>
      <c r="G495" s="490">
        <v>0.35700000000000004</v>
      </c>
      <c r="H495" s="490">
        <v>0.11</v>
      </c>
      <c r="I495" s="490">
        <v>17.232999</v>
      </c>
      <c r="J495" s="499">
        <v>536.97</v>
      </c>
      <c r="K495" s="490">
        <v>17.232999</v>
      </c>
      <c r="L495" s="499">
        <v>536.97</v>
      </c>
      <c r="M495" s="272">
        <f t="shared" si="86"/>
        <v>0.03209303871724677</v>
      </c>
      <c r="N495" s="271">
        <v>313.375</v>
      </c>
      <c r="O495" s="271">
        <f t="shared" si="87"/>
        <v>10.057156008017207</v>
      </c>
      <c r="P495" s="271">
        <f t="shared" si="88"/>
        <v>1925.5823230348064</v>
      </c>
      <c r="Q495" s="273">
        <f t="shared" si="89"/>
        <v>603.4293604810325</v>
      </c>
      <c r="S495" s="80"/>
      <c r="T495" s="80"/>
    </row>
    <row r="496" spans="1:20" s="88" customFormat="1" ht="12.75">
      <c r="A496" s="939"/>
      <c r="B496" s="298">
        <v>9</v>
      </c>
      <c r="C496" s="386" t="s">
        <v>494</v>
      </c>
      <c r="D496" s="591">
        <v>18</v>
      </c>
      <c r="E496" s="219">
        <v>1989</v>
      </c>
      <c r="F496" s="270">
        <f t="shared" si="85"/>
        <v>31.999998</v>
      </c>
      <c r="G496" s="490">
        <v>1.581</v>
      </c>
      <c r="H496" s="490">
        <v>0</v>
      </c>
      <c r="I496" s="490">
        <v>30.418998000000002</v>
      </c>
      <c r="J496" s="499">
        <v>937.87</v>
      </c>
      <c r="K496" s="490">
        <v>30.418998000000002</v>
      </c>
      <c r="L496" s="499">
        <v>937.87</v>
      </c>
      <c r="M496" s="272">
        <f t="shared" si="86"/>
        <v>0.03243413052981757</v>
      </c>
      <c r="N496" s="271">
        <v>313.375</v>
      </c>
      <c r="O496" s="271">
        <f t="shared" si="87"/>
        <v>10.164045654781582</v>
      </c>
      <c r="P496" s="271">
        <f t="shared" si="88"/>
        <v>1946.0478317890543</v>
      </c>
      <c r="Q496" s="273">
        <f t="shared" si="89"/>
        <v>609.8427392868949</v>
      </c>
      <c r="S496" s="80"/>
      <c r="T496" s="80"/>
    </row>
    <row r="497" spans="1:20" s="88" customFormat="1" ht="13.5" thickBot="1">
      <c r="A497" s="941"/>
      <c r="B497" s="307">
        <v>10</v>
      </c>
      <c r="C497" s="387" t="s">
        <v>495</v>
      </c>
      <c r="D497" s="624">
        <v>17</v>
      </c>
      <c r="E497" s="232">
        <v>1983</v>
      </c>
      <c r="F497" s="274">
        <f t="shared" si="85"/>
        <v>42.400001</v>
      </c>
      <c r="G497" s="491">
        <v>1.683</v>
      </c>
      <c r="H497" s="491">
        <v>2.88</v>
      </c>
      <c r="I497" s="491">
        <v>37.837001</v>
      </c>
      <c r="J497" s="500">
        <v>1153.81</v>
      </c>
      <c r="K497" s="491">
        <v>37.837001</v>
      </c>
      <c r="L497" s="500">
        <v>1153.81</v>
      </c>
      <c r="M497" s="276">
        <f t="shared" si="86"/>
        <v>0.032793095050311576</v>
      </c>
      <c r="N497" s="275">
        <v>313.375</v>
      </c>
      <c r="O497" s="275">
        <f t="shared" si="87"/>
        <v>10.27653616139139</v>
      </c>
      <c r="P497" s="275">
        <f t="shared" si="88"/>
        <v>1967.5857030186944</v>
      </c>
      <c r="Q497" s="277">
        <f t="shared" si="89"/>
        <v>616.5921696834833</v>
      </c>
      <c r="S497" s="80"/>
      <c r="T497" s="80"/>
    </row>
    <row r="498" spans="1:20" s="88" customFormat="1" ht="12.75">
      <c r="A498" s="1034" t="s">
        <v>12</v>
      </c>
      <c r="B498" s="308">
        <v>1</v>
      </c>
      <c r="C498" s="620" t="s">
        <v>496</v>
      </c>
      <c r="D498" s="621">
        <v>18</v>
      </c>
      <c r="E498" s="73">
        <v>1987</v>
      </c>
      <c r="F498" s="294">
        <f t="shared" si="85"/>
        <v>41.759868</v>
      </c>
      <c r="G498" s="622">
        <v>1.734</v>
      </c>
      <c r="H498" s="622">
        <v>2.8000000000000003</v>
      </c>
      <c r="I498" s="622">
        <v>37.225868</v>
      </c>
      <c r="J498" s="623">
        <v>1157.8700000000001</v>
      </c>
      <c r="K498" s="622">
        <v>37.225868</v>
      </c>
      <c r="L498" s="623">
        <v>1134.7</v>
      </c>
      <c r="M498" s="283">
        <f t="shared" si="86"/>
        <v>0.03280679298492994</v>
      </c>
      <c r="N498" s="284">
        <v>313.375</v>
      </c>
      <c r="O498" s="284">
        <f t="shared" si="87"/>
        <v>10.28082875165242</v>
      </c>
      <c r="P498" s="284">
        <f t="shared" si="88"/>
        <v>1968.4075790957963</v>
      </c>
      <c r="Q498" s="285">
        <f t="shared" si="89"/>
        <v>616.8497250991452</v>
      </c>
      <c r="S498" s="80"/>
      <c r="T498" s="80"/>
    </row>
    <row r="499" spans="1:20" s="88" customFormat="1" ht="12.75">
      <c r="A499" s="1035"/>
      <c r="B499" s="309">
        <v>2</v>
      </c>
      <c r="C499" s="388" t="s">
        <v>497</v>
      </c>
      <c r="D499" s="595">
        <v>13</v>
      </c>
      <c r="E499" s="40">
        <v>1968</v>
      </c>
      <c r="F499" s="295">
        <f t="shared" si="85"/>
        <v>17.067544</v>
      </c>
      <c r="G499" s="492">
        <v>0</v>
      </c>
      <c r="H499" s="492">
        <v>0</v>
      </c>
      <c r="I499" s="492">
        <v>17.067544</v>
      </c>
      <c r="J499" s="501">
        <v>1020.08</v>
      </c>
      <c r="K499" s="492">
        <v>17.067544</v>
      </c>
      <c r="L499" s="501">
        <v>514.91</v>
      </c>
      <c r="M499" s="289">
        <f t="shared" si="86"/>
        <v>0.03314665475519994</v>
      </c>
      <c r="N499" s="290">
        <v>313.375</v>
      </c>
      <c r="O499" s="290">
        <f t="shared" si="87"/>
        <v>10.387332933910782</v>
      </c>
      <c r="P499" s="290">
        <f t="shared" si="88"/>
        <v>1988.7992853119965</v>
      </c>
      <c r="Q499" s="291">
        <f t="shared" si="89"/>
        <v>623.2399760346468</v>
      </c>
      <c r="S499" s="80"/>
      <c r="T499" s="80"/>
    </row>
    <row r="500" spans="1:20" s="88" customFormat="1" ht="12.75">
      <c r="A500" s="1035"/>
      <c r="B500" s="309">
        <v>3</v>
      </c>
      <c r="C500" s="388" t="s">
        <v>498</v>
      </c>
      <c r="D500" s="595">
        <v>14</v>
      </c>
      <c r="E500" s="40">
        <v>1960</v>
      </c>
      <c r="F500" s="295">
        <f t="shared" si="85"/>
        <v>20.278248</v>
      </c>
      <c r="G500" s="492">
        <v>0.8084520000000001</v>
      </c>
      <c r="H500" s="492">
        <v>2.24</v>
      </c>
      <c r="I500" s="492">
        <v>17.229796</v>
      </c>
      <c r="J500" s="501">
        <v>908.95</v>
      </c>
      <c r="K500" s="492">
        <v>17.229796</v>
      </c>
      <c r="L500" s="501">
        <v>518.33</v>
      </c>
      <c r="M500" s="289">
        <f t="shared" si="86"/>
        <v>0.03324097775548396</v>
      </c>
      <c r="N500" s="290">
        <v>313.375</v>
      </c>
      <c r="O500" s="290">
        <f t="shared" si="87"/>
        <v>10.416891404124785</v>
      </c>
      <c r="P500" s="290">
        <f t="shared" si="88"/>
        <v>1994.4586653290376</v>
      </c>
      <c r="Q500" s="291">
        <f t="shared" si="89"/>
        <v>625.0134842474871</v>
      </c>
      <c r="S500" s="80"/>
      <c r="T500" s="80"/>
    </row>
    <row r="501" spans="1:20" s="88" customFormat="1" ht="12.75">
      <c r="A501" s="1035"/>
      <c r="B501" s="309">
        <v>4</v>
      </c>
      <c r="C501" s="388" t="s">
        <v>499</v>
      </c>
      <c r="D501" s="595">
        <v>24</v>
      </c>
      <c r="E501" s="40">
        <v>1962</v>
      </c>
      <c r="F501" s="295">
        <f t="shared" si="85"/>
        <v>38.999998999999995</v>
      </c>
      <c r="G501" s="492">
        <v>1.4280000000000002</v>
      </c>
      <c r="H501" s="492">
        <v>0</v>
      </c>
      <c r="I501" s="492">
        <v>37.571999</v>
      </c>
      <c r="J501" s="501">
        <v>1108.08</v>
      </c>
      <c r="K501" s="492">
        <v>37.571999</v>
      </c>
      <c r="L501" s="501">
        <v>1108.08</v>
      </c>
      <c r="M501" s="289">
        <f t="shared" si="86"/>
        <v>0.03390729820951556</v>
      </c>
      <c r="N501" s="290">
        <v>313.375</v>
      </c>
      <c r="O501" s="290">
        <f t="shared" si="87"/>
        <v>10.625699576406939</v>
      </c>
      <c r="P501" s="290">
        <f t="shared" si="88"/>
        <v>2034.4378925709336</v>
      </c>
      <c r="Q501" s="291">
        <f t="shared" si="89"/>
        <v>637.5419745844164</v>
      </c>
      <c r="S501" s="80"/>
      <c r="T501" s="80"/>
    </row>
    <row r="502" spans="1:20" s="88" customFormat="1" ht="12.75" customHeight="1">
      <c r="A502" s="1035"/>
      <c r="B502" s="309">
        <v>5</v>
      </c>
      <c r="C502" s="388" t="s">
        <v>500</v>
      </c>
      <c r="D502" s="595">
        <v>8</v>
      </c>
      <c r="E502" s="40">
        <v>1972</v>
      </c>
      <c r="F502" s="295">
        <f t="shared" si="85"/>
        <v>16.1</v>
      </c>
      <c r="G502" s="492">
        <v>0.408</v>
      </c>
      <c r="H502" s="492">
        <v>0.67</v>
      </c>
      <c r="I502" s="492">
        <v>15.022</v>
      </c>
      <c r="J502" s="501">
        <v>440.39</v>
      </c>
      <c r="K502" s="492">
        <v>15.022</v>
      </c>
      <c r="L502" s="501">
        <v>440.39</v>
      </c>
      <c r="M502" s="289">
        <f t="shared" si="86"/>
        <v>0.034110674629305844</v>
      </c>
      <c r="N502" s="290">
        <v>313.375</v>
      </c>
      <c r="O502" s="290">
        <f t="shared" si="87"/>
        <v>10.689432661958719</v>
      </c>
      <c r="P502" s="290">
        <f t="shared" si="88"/>
        <v>2046.6404777583507</v>
      </c>
      <c r="Q502" s="291">
        <f t="shared" si="89"/>
        <v>641.3659597175232</v>
      </c>
      <c r="S502" s="80"/>
      <c r="T502" s="80"/>
    </row>
    <row r="503" spans="1:20" s="88" customFormat="1" ht="12.75">
      <c r="A503" s="1035"/>
      <c r="B503" s="309">
        <v>6</v>
      </c>
      <c r="C503" s="388" t="s">
        <v>501</v>
      </c>
      <c r="D503" s="595">
        <v>11</v>
      </c>
      <c r="E503" s="40">
        <v>1976</v>
      </c>
      <c r="F503" s="295">
        <f t="shared" si="85"/>
        <v>17.190185</v>
      </c>
      <c r="G503" s="492">
        <v>0</v>
      </c>
      <c r="H503" s="492">
        <v>0</v>
      </c>
      <c r="I503" s="492">
        <v>17.190185</v>
      </c>
      <c r="J503" s="501">
        <v>543.66</v>
      </c>
      <c r="K503" s="492">
        <v>17.190185</v>
      </c>
      <c r="L503" s="501">
        <v>496.05</v>
      </c>
      <c r="M503" s="289">
        <f t="shared" si="86"/>
        <v>0.03465413768773309</v>
      </c>
      <c r="N503" s="290">
        <v>313.375</v>
      </c>
      <c r="O503" s="290">
        <f t="shared" si="87"/>
        <v>10.859740397893356</v>
      </c>
      <c r="P503" s="290">
        <f t="shared" si="88"/>
        <v>2079.248261263985</v>
      </c>
      <c r="Q503" s="291">
        <f t="shared" si="89"/>
        <v>651.5844238736014</v>
      </c>
      <c r="S503" s="80"/>
      <c r="T503" s="80"/>
    </row>
    <row r="504" spans="1:20" s="88" customFormat="1" ht="12.75" customHeight="1">
      <c r="A504" s="1035"/>
      <c r="B504" s="309">
        <v>7</v>
      </c>
      <c r="C504" s="388" t="s">
        <v>502</v>
      </c>
      <c r="D504" s="595">
        <v>12</v>
      </c>
      <c r="E504" s="40">
        <v>1968</v>
      </c>
      <c r="F504" s="295">
        <f t="shared" si="85"/>
        <v>20.100001000000002</v>
      </c>
      <c r="G504" s="492">
        <v>0.663</v>
      </c>
      <c r="H504" s="492">
        <v>0.12</v>
      </c>
      <c r="I504" s="492">
        <v>19.317001</v>
      </c>
      <c r="J504" s="501">
        <v>536.53</v>
      </c>
      <c r="K504" s="492">
        <v>19.317001</v>
      </c>
      <c r="L504" s="501">
        <v>536.53</v>
      </c>
      <c r="M504" s="289">
        <f t="shared" si="86"/>
        <v>0.03600358041488827</v>
      </c>
      <c r="N504" s="290">
        <v>313.375</v>
      </c>
      <c r="O504" s="290">
        <f t="shared" si="87"/>
        <v>11.282622012515612</v>
      </c>
      <c r="P504" s="290">
        <f t="shared" si="88"/>
        <v>2160.2148248932963</v>
      </c>
      <c r="Q504" s="291">
        <f t="shared" si="89"/>
        <v>676.9573207509368</v>
      </c>
      <c r="S504" s="80"/>
      <c r="T504" s="80"/>
    </row>
    <row r="505" spans="1:20" s="88" customFormat="1" ht="12.75" customHeight="1">
      <c r="A505" s="1035"/>
      <c r="B505" s="309">
        <v>8</v>
      </c>
      <c r="C505" s="388" t="s">
        <v>503</v>
      </c>
      <c r="D505" s="595">
        <v>6</v>
      </c>
      <c r="E505" s="40">
        <v>1968</v>
      </c>
      <c r="F505" s="295">
        <f t="shared" si="85"/>
        <v>10.241</v>
      </c>
      <c r="G505" s="492">
        <v>0</v>
      </c>
      <c r="H505" s="492">
        <v>0</v>
      </c>
      <c r="I505" s="492">
        <v>10.241</v>
      </c>
      <c r="J505" s="501">
        <v>252.14000000000001</v>
      </c>
      <c r="K505" s="492">
        <v>10.241</v>
      </c>
      <c r="L505" s="501">
        <v>252.14000000000001</v>
      </c>
      <c r="M505" s="289">
        <f t="shared" si="86"/>
        <v>0.04061632426429761</v>
      </c>
      <c r="N505" s="290">
        <v>313.375</v>
      </c>
      <c r="O505" s="290">
        <f t="shared" si="87"/>
        <v>12.728140616324263</v>
      </c>
      <c r="P505" s="290">
        <f t="shared" si="88"/>
        <v>2436.9794558578565</v>
      </c>
      <c r="Q505" s="291">
        <f t="shared" si="89"/>
        <v>763.6884369794558</v>
      </c>
      <c r="S505" s="80"/>
      <c r="T505" s="80"/>
    </row>
    <row r="506" spans="1:20" s="88" customFormat="1" ht="12.75" customHeight="1">
      <c r="A506" s="1035"/>
      <c r="B506" s="97">
        <v>9</v>
      </c>
      <c r="C506" s="388" t="s">
        <v>504</v>
      </c>
      <c r="D506" s="595">
        <v>6</v>
      </c>
      <c r="E506" s="40">
        <v>1961</v>
      </c>
      <c r="F506" s="295">
        <f t="shared" si="85"/>
        <v>15.600999999999999</v>
      </c>
      <c r="G506" s="492">
        <v>0</v>
      </c>
      <c r="H506" s="492">
        <v>0</v>
      </c>
      <c r="I506" s="492">
        <v>15.600999999999999</v>
      </c>
      <c r="J506" s="501">
        <v>362.24</v>
      </c>
      <c r="K506" s="492">
        <v>15.600999999999999</v>
      </c>
      <c r="L506" s="501">
        <v>362.24</v>
      </c>
      <c r="M506" s="289">
        <f t="shared" si="86"/>
        <v>0.043068131625441694</v>
      </c>
      <c r="N506" s="290">
        <v>313.375</v>
      </c>
      <c r="O506" s="290">
        <f t="shared" si="87"/>
        <v>13.49647574812279</v>
      </c>
      <c r="P506" s="290">
        <f t="shared" si="88"/>
        <v>2584.087897526502</v>
      </c>
      <c r="Q506" s="291">
        <f t="shared" si="89"/>
        <v>809.7885448873675</v>
      </c>
      <c r="S506" s="80"/>
      <c r="T506" s="80"/>
    </row>
    <row r="507" spans="1:20" s="88" customFormat="1" ht="12.75" customHeight="1" thickBot="1">
      <c r="A507" s="1036"/>
      <c r="B507" s="98">
        <v>10</v>
      </c>
      <c r="C507" s="312" t="s">
        <v>505</v>
      </c>
      <c r="D507" s="625">
        <v>5</v>
      </c>
      <c r="E507" s="42">
        <v>1961</v>
      </c>
      <c r="F507" s="296">
        <f t="shared" si="85"/>
        <v>10.246078</v>
      </c>
      <c r="G507" s="494">
        <v>0</v>
      </c>
      <c r="H507" s="494">
        <v>0</v>
      </c>
      <c r="I507" s="494">
        <v>10.246078</v>
      </c>
      <c r="J507" s="502">
        <v>362.23</v>
      </c>
      <c r="K507" s="494">
        <v>10.246078</v>
      </c>
      <c r="L507" s="502">
        <v>223.64000000000001</v>
      </c>
      <c r="M507" s="286">
        <f t="shared" si="86"/>
        <v>0.0458150509747809</v>
      </c>
      <c r="N507" s="287">
        <v>313.375</v>
      </c>
      <c r="O507" s="287">
        <f t="shared" si="87"/>
        <v>14.357291599221965</v>
      </c>
      <c r="P507" s="287">
        <f t="shared" si="88"/>
        <v>2748.9030584868538</v>
      </c>
      <c r="Q507" s="288">
        <f t="shared" si="89"/>
        <v>861.4374959533178</v>
      </c>
      <c r="S507" s="80"/>
      <c r="T507" s="80"/>
    </row>
    <row r="508" spans="19:20" ht="12.75">
      <c r="S508" s="80"/>
      <c r="T508" s="80"/>
    </row>
    <row r="509" spans="19:20" ht="12.75">
      <c r="S509" s="80"/>
      <c r="T509" s="80"/>
    </row>
    <row r="510" spans="1:20" ht="15">
      <c r="A510" s="907" t="s">
        <v>65</v>
      </c>
      <c r="B510" s="907"/>
      <c r="C510" s="907"/>
      <c r="D510" s="907"/>
      <c r="E510" s="907"/>
      <c r="F510" s="907"/>
      <c r="G510" s="907"/>
      <c r="H510" s="907"/>
      <c r="I510" s="907"/>
      <c r="J510" s="907"/>
      <c r="K510" s="907"/>
      <c r="L510" s="907"/>
      <c r="M510" s="907"/>
      <c r="N510" s="907"/>
      <c r="O510" s="907"/>
      <c r="P510" s="907"/>
      <c r="Q510" s="907"/>
      <c r="S510" s="80"/>
      <c r="T510" s="80"/>
    </row>
    <row r="511" spans="1:20" ht="13.5" thickBot="1">
      <c r="A511" s="894" t="s">
        <v>507</v>
      </c>
      <c r="B511" s="894"/>
      <c r="C511" s="894"/>
      <c r="D511" s="894"/>
      <c r="E511" s="894"/>
      <c r="F511" s="894"/>
      <c r="G511" s="894"/>
      <c r="H511" s="894"/>
      <c r="I511" s="894"/>
      <c r="J511" s="894"/>
      <c r="K511" s="894"/>
      <c r="L511" s="894"/>
      <c r="M511" s="894"/>
      <c r="N511" s="894"/>
      <c r="O511" s="894"/>
      <c r="P511" s="894"/>
      <c r="Q511" s="894"/>
      <c r="S511" s="80"/>
      <c r="T511" s="80"/>
    </row>
    <row r="512" spans="1:20" ht="12.75" customHeight="1">
      <c r="A512" s="885" t="s">
        <v>1</v>
      </c>
      <c r="B512" s="908" t="s">
        <v>0</v>
      </c>
      <c r="C512" s="880" t="s">
        <v>2</v>
      </c>
      <c r="D512" s="880" t="s">
        <v>3</v>
      </c>
      <c r="E512" s="880" t="s">
        <v>13</v>
      </c>
      <c r="F512" s="911" t="s">
        <v>14</v>
      </c>
      <c r="G512" s="912"/>
      <c r="H512" s="912"/>
      <c r="I512" s="913"/>
      <c r="J512" s="880" t="s">
        <v>4</v>
      </c>
      <c r="K512" s="880" t="s">
        <v>15</v>
      </c>
      <c r="L512" s="880" t="s">
        <v>5</v>
      </c>
      <c r="M512" s="880" t="s">
        <v>6</v>
      </c>
      <c r="N512" s="880" t="s">
        <v>16</v>
      </c>
      <c r="O512" s="892" t="s">
        <v>17</v>
      </c>
      <c r="P512" s="880" t="s">
        <v>25</v>
      </c>
      <c r="Q512" s="890" t="s">
        <v>26</v>
      </c>
      <c r="S512" s="80"/>
      <c r="T512" s="80"/>
    </row>
    <row r="513" spans="1:20" s="2" customFormat="1" ht="33.75">
      <c r="A513" s="886"/>
      <c r="B513" s="909"/>
      <c r="C513" s="888"/>
      <c r="D513" s="881"/>
      <c r="E513" s="881"/>
      <c r="F513" s="36" t="s">
        <v>18</v>
      </c>
      <c r="G513" s="36" t="s">
        <v>19</v>
      </c>
      <c r="H513" s="36" t="s">
        <v>20</v>
      </c>
      <c r="I513" s="36" t="s">
        <v>21</v>
      </c>
      <c r="J513" s="881"/>
      <c r="K513" s="881"/>
      <c r="L513" s="881"/>
      <c r="M513" s="881"/>
      <c r="N513" s="881"/>
      <c r="O513" s="893"/>
      <c r="P513" s="881"/>
      <c r="Q513" s="891"/>
      <c r="S513" s="80"/>
      <c r="T513" s="80"/>
    </row>
    <row r="514" spans="1:20" s="3" customFormat="1" ht="13.5" customHeight="1" thickBot="1">
      <c r="A514" s="886"/>
      <c r="B514" s="909"/>
      <c r="C514" s="889"/>
      <c r="D514" s="52" t="s">
        <v>7</v>
      </c>
      <c r="E514" s="52" t="s">
        <v>8</v>
      </c>
      <c r="F514" s="52" t="s">
        <v>9</v>
      </c>
      <c r="G514" s="52" t="s">
        <v>9</v>
      </c>
      <c r="H514" s="52" t="s">
        <v>9</v>
      </c>
      <c r="I514" s="52" t="s">
        <v>9</v>
      </c>
      <c r="J514" s="52" t="s">
        <v>22</v>
      </c>
      <c r="K514" s="52" t="s">
        <v>9</v>
      </c>
      <c r="L514" s="52" t="s">
        <v>22</v>
      </c>
      <c r="M514" s="52" t="s">
        <v>69</v>
      </c>
      <c r="N514" s="52" t="s">
        <v>10</v>
      </c>
      <c r="O514" s="52" t="s">
        <v>70</v>
      </c>
      <c r="P514" s="53" t="s">
        <v>27</v>
      </c>
      <c r="Q514" s="54" t="s">
        <v>28</v>
      </c>
      <c r="S514" s="80"/>
      <c r="T514" s="80"/>
    </row>
    <row r="515" spans="1:20" ht="12.75">
      <c r="A515" s="915" t="s">
        <v>11</v>
      </c>
      <c r="B515" s="30">
        <v>1</v>
      </c>
      <c r="C515" s="16" t="s">
        <v>508</v>
      </c>
      <c r="D515" s="31">
        <v>50</v>
      </c>
      <c r="E515" s="31">
        <v>1992</v>
      </c>
      <c r="F515" s="235">
        <f>SUM(G515:I515)</f>
        <v>48.921999</v>
      </c>
      <c r="G515" s="135">
        <v>3.667271</v>
      </c>
      <c r="H515" s="135">
        <v>7.84</v>
      </c>
      <c r="I515" s="135">
        <v>37.414728</v>
      </c>
      <c r="J515" s="163">
        <v>2469.68</v>
      </c>
      <c r="K515" s="135">
        <v>37.414728</v>
      </c>
      <c r="L515" s="163">
        <v>2469.68</v>
      </c>
      <c r="M515" s="237">
        <f>K515/L515</f>
        <v>0.015149625862459914</v>
      </c>
      <c r="N515" s="236">
        <v>310.65</v>
      </c>
      <c r="O515" s="238">
        <f>M515*N515</f>
        <v>4.706231274173172</v>
      </c>
      <c r="P515" s="238">
        <f>M515*60*1000</f>
        <v>908.9775517475948</v>
      </c>
      <c r="Q515" s="239">
        <f>P515*N515/1000</f>
        <v>282.3738764503903</v>
      </c>
      <c r="R515" s="6"/>
      <c r="S515" s="80"/>
      <c r="T515" s="80"/>
    </row>
    <row r="516" spans="1:20" ht="12.75">
      <c r="A516" s="916"/>
      <c r="B516" s="31">
        <v>2</v>
      </c>
      <c r="C516" s="16"/>
      <c r="D516" s="163"/>
      <c r="E516" s="163"/>
      <c r="F516" s="240"/>
      <c r="G516" s="240"/>
      <c r="H516" s="240"/>
      <c r="I516" s="240"/>
      <c r="J516" s="163"/>
      <c r="K516" s="240"/>
      <c r="L516" s="163"/>
      <c r="M516" s="122"/>
      <c r="N516" s="121"/>
      <c r="O516" s="121"/>
      <c r="P516" s="121"/>
      <c r="Q516" s="123"/>
      <c r="S516" s="80"/>
      <c r="T516" s="80"/>
    </row>
    <row r="517" spans="1:20" ht="12.75">
      <c r="A517" s="916"/>
      <c r="B517" s="31">
        <v>3</v>
      </c>
      <c r="C517" s="16"/>
      <c r="D517" s="163"/>
      <c r="E517" s="163"/>
      <c r="F517" s="240"/>
      <c r="G517" s="240"/>
      <c r="H517" s="240"/>
      <c r="I517" s="240"/>
      <c r="J517" s="163"/>
      <c r="K517" s="240"/>
      <c r="L517" s="163"/>
      <c r="M517" s="122"/>
      <c r="N517" s="121"/>
      <c r="O517" s="121"/>
      <c r="P517" s="121"/>
      <c r="Q517" s="123"/>
      <c r="S517" s="80"/>
      <c r="T517" s="80"/>
    </row>
    <row r="518" spans="1:20" ht="12.75">
      <c r="A518" s="916"/>
      <c r="B518" s="31">
        <v>4</v>
      </c>
      <c r="C518" s="16"/>
      <c r="D518" s="163"/>
      <c r="E518" s="163"/>
      <c r="F518" s="240"/>
      <c r="G518" s="240"/>
      <c r="H518" s="240"/>
      <c r="I518" s="240"/>
      <c r="J518" s="163"/>
      <c r="K518" s="240"/>
      <c r="L518" s="163"/>
      <c r="M518" s="122"/>
      <c r="N518" s="121"/>
      <c r="O518" s="121"/>
      <c r="P518" s="121"/>
      <c r="Q518" s="123"/>
      <c r="S518" s="80"/>
      <c r="T518" s="80"/>
    </row>
    <row r="519" spans="1:20" ht="12.75">
      <c r="A519" s="916"/>
      <c r="B519" s="31">
        <v>5</v>
      </c>
      <c r="C519" s="16"/>
      <c r="D519" s="163"/>
      <c r="E519" s="163"/>
      <c r="F519" s="240"/>
      <c r="G519" s="240"/>
      <c r="H519" s="240"/>
      <c r="I519" s="240"/>
      <c r="J519" s="163"/>
      <c r="K519" s="240"/>
      <c r="L519" s="163"/>
      <c r="M519" s="122"/>
      <c r="N519" s="121"/>
      <c r="O519" s="121"/>
      <c r="P519" s="121"/>
      <c r="Q519" s="123"/>
      <c r="S519" s="80"/>
      <c r="T519" s="80"/>
    </row>
    <row r="520" spans="1:20" ht="12.75">
      <c r="A520" s="916"/>
      <c r="B520" s="31">
        <v>6</v>
      </c>
      <c r="C520" s="16"/>
      <c r="D520" s="161"/>
      <c r="E520" s="163"/>
      <c r="F520" s="240"/>
      <c r="G520" s="240"/>
      <c r="H520" s="240"/>
      <c r="I520" s="240"/>
      <c r="J520" s="163"/>
      <c r="K520" s="240"/>
      <c r="L520" s="163"/>
      <c r="M520" s="122"/>
      <c r="N520" s="121"/>
      <c r="O520" s="121"/>
      <c r="P520" s="121"/>
      <c r="Q520" s="123"/>
      <c r="S520" s="80"/>
      <c r="T520" s="80"/>
    </row>
    <row r="521" spans="1:20" ht="12.75">
      <c r="A521" s="916"/>
      <c r="B521" s="31">
        <v>7</v>
      </c>
      <c r="C521" s="16"/>
      <c r="D521" s="161"/>
      <c r="E521" s="163"/>
      <c r="F521" s="240"/>
      <c r="G521" s="240"/>
      <c r="H521" s="240"/>
      <c r="I521" s="240"/>
      <c r="J521" s="163"/>
      <c r="K521" s="240"/>
      <c r="L521" s="163"/>
      <c r="M521" s="122"/>
      <c r="N521" s="121"/>
      <c r="O521" s="121"/>
      <c r="P521" s="121"/>
      <c r="Q521" s="123"/>
      <c r="S521" s="80"/>
      <c r="T521" s="80"/>
    </row>
    <row r="522" spans="1:20" ht="12.75">
      <c r="A522" s="916"/>
      <c r="B522" s="31">
        <v>8</v>
      </c>
      <c r="C522" s="16"/>
      <c r="D522" s="161"/>
      <c r="E522" s="163"/>
      <c r="F522" s="240"/>
      <c r="G522" s="240"/>
      <c r="H522" s="240"/>
      <c r="I522" s="240"/>
      <c r="J522" s="163"/>
      <c r="K522" s="240"/>
      <c r="L522" s="163"/>
      <c r="M522" s="122"/>
      <c r="N522" s="121"/>
      <c r="O522" s="121"/>
      <c r="P522" s="121"/>
      <c r="Q522" s="123"/>
      <c r="S522" s="80"/>
      <c r="T522" s="80"/>
    </row>
    <row r="523" spans="1:20" ht="12.75">
      <c r="A523" s="916"/>
      <c r="B523" s="31">
        <v>9</v>
      </c>
      <c r="C523" s="16"/>
      <c r="D523" s="161"/>
      <c r="E523" s="163"/>
      <c r="F523" s="240"/>
      <c r="G523" s="240"/>
      <c r="H523" s="240"/>
      <c r="I523" s="240"/>
      <c r="J523" s="163"/>
      <c r="K523" s="240"/>
      <c r="L523" s="163"/>
      <c r="M523" s="122"/>
      <c r="N523" s="121"/>
      <c r="O523" s="121"/>
      <c r="P523" s="121"/>
      <c r="Q523" s="123"/>
      <c r="S523" s="80"/>
      <c r="T523" s="80"/>
    </row>
    <row r="524" spans="1:20" ht="13.5" thickBot="1">
      <c r="A524" s="942"/>
      <c r="B524" s="57" t="s">
        <v>44</v>
      </c>
      <c r="C524" s="16"/>
      <c r="D524" s="161"/>
      <c r="E524" s="161"/>
      <c r="F524" s="240"/>
      <c r="G524" s="240"/>
      <c r="H524" s="240"/>
      <c r="I524" s="240"/>
      <c r="J524" s="163"/>
      <c r="K524" s="240"/>
      <c r="L524" s="163"/>
      <c r="M524" s="125"/>
      <c r="N524" s="124"/>
      <c r="O524" s="124"/>
      <c r="P524" s="124"/>
      <c r="Q524" s="126"/>
      <c r="S524" s="80"/>
      <c r="T524" s="80"/>
    </row>
    <row r="525" spans="1:20" ht="11.25" customHeight="1">
      <c r="A525" s="882" t="s">
        <v>29</v>
      </c>
      <c r="B525" s="33">
        <v>1</v>
      </c>
      <c r="C525" s="32" t="s">
        <v>509</v>
      </c>
      <c r="D525" s="33">
        <v>20</v>
      </c>
      <c r="E525" s="33">
        <v>1987</v>
      </c>
      <c r="F525" s="247">
        <f aca="true" t="shared" si="90" ref="F525:F552">SUM(G525:I525)</f>
        <v>30.791</v>
      </c>
      <c r="G525" s="247">
        <v>3.223903</v>
      </c>
      <c r="H525" s="247">
        <v>3.2</v>
      </c>
      <c r="I525" s="247">
        <v>24.367097</v>
      </c>
      <c r="J525" s="397">
        <v>1076.16</v>
      </c>
      <c r="K525" s="247">
        <v>24.367097</v>
      </c>
      <c r="L525" s="397">
        <v>1076.16</v>
      </c>
      <c r="M525" s="136">
        <f aca="true" t="shared" si="91" ref="M525:M552">K525/L525</f>
        <v>0.02264263399494499</v>
      </c>
      <c r="N525" s="137">
        <v>309.233</v>
      </c>
      <c r="O525" s="137">
        <f aca="true" t="shared" si="92" ref="O525:O552">M525*N525</f>
        <v>7.001849638158824</v>
      </c>
      <c r="P525" s="137">
        <f aca="true" t="shared" si="93" ref="P525:P552">M525*60*1000</f>
        <v>1358.5580396966993</v>
      </c>
      <c r="Q525" s="157">
        <f aca="true" t="shared" si="94" ref="Q525:Q552">P525*N525/1000</f>
        <v>420.11097828952944</v>
      </c>
      <c r="S525" s="80"/>
      <c r="T525" s="80"/>
    </row>
    <row r="526" spans="1:20" ht="12.75" customHeight="1">
      <c r="A526" s="883"/>
      <c r="B526" s="35">
        <v>2</v>
      </c>
      <c r="C526" s="34" t="s">
        <v>510</v>
      </c>
      <c r="D526" s="35">
        <v>12</v>
      </c>
      <c r="E526" s="35">
        <v>1979</v>
      </c>
      <c r="F526" s="248">
        <f t="shared" si="90"/>
        <v>20.646</v>
      </c>
      <c r="G526" s="248">
        <v>2.62983</v>
      </c>
      <c r="H526" s="248">
        <v>1.92</v>
      </c>
      <c r="I526" s="248">
        <v>16.09617</v>
      </c>
      <c r="J526" s="110">
        <v>708.3</v>
      </c>
      <c r="K526" s="248">
        <v>16.09617</v>
      </c>
      <c r="L526" s="110">
        <v>708.3</v>
      </c>
      <c r="M526" s="136">
        <f t="shared" si="91"/>
        <v>0.022725074121135114</v>
      </c>
      <c r="N526" s="137">
        <v>309.233</v>
      </c>
      <c r="O526" s="137">
        <f t="shared" si="92"/>
        <v>7.027342845700975</v>
      </c>
      <c r="P526" s="137">
        <f t="shared" si="93"/>
        <v>1363.5044472681068</v>
      </c>
      <c r="Q526" s="157">
        <f t="shared" si="94"/>
        <v>421.64057074205846</v>
      </c>
      <c r="S526" s="80"/>
      <c r="T526" s="80"/>
    </row>
    <row r="527" spans="1:20" ht="12.75" customHeight="1">
      <c r="A527" s="883"/>
      <c r="B527" s="35">
        <v>3</v>
      </c>
      <c r="C527" s="34" t="s">
        <v>511</v>
      </c>
      <c r="D527" s="35">
        <v>12</v>
      </c>
      <c r="E527" s="35">
        <v>1979</v>
      </c>
      <c r="F527" s="248">
        <f t="shared" si="90"/>
        <v>19.146994999999997</v>
      </c>
      <c r="G527" s="248">
        <v>0.88555</v>
      </c>
      <c r="H527" s="248">
        <v>1.84</v>
      </c>
      <c r="I527" s="248">
        <v>16.421445</v>
      </c>
      <c r="J527" s="110">
        <v>715.63</v>
      </c>
      <c r="K527" s="248">
        <v>16.421445</v>
      </c>
      <c r="L527" s="110">
        <v>715.63</v>
      </c>
      <c r="M527" s="128">
        <f t="shared" si="91"/>
        <v>0.02294683705266688</v>
      </c>
      <c r="N527" s="137">
        <v>309.233</v>
      </c>
      <c r="O527" s="137">
        <f t="shared" si="92"/>
        <v>7.095919262307337</v>
      </c>
      <c r="P527" s="137">
        <f t="shared" si="93"/>
        <v>1376.8102231600128</v>
      </c>
      <c r="Q527" s="155">
        <f t="shared" si="94"/>
        <v>425.75515573844024</v>
      </c>
      <c r="S527" s="80"/>
      <c r="T527" s="80"/>
    </row>
    <row r="528" spans="1:20" ht="12.75" customHeight="1">
      <c r="A528" s="883"/>
      <c r="B528" s="35">
        <v>4</v>
      </c>
      <c r="C528" s="34" t="s">
        <v>512</v>
      </c>
      <c r="D528" s="35">
        <v>32</v>
      </c>
      <c r="E528" s="35">
        <v>1987</v>
      </c>
      <c r="F528" s="248">
        <f t="shared" si="90"/>
        <v>50.507999999999996</v>
      </c>
      <c r="G528" s="248">
        <v>3.05919</v>
      </c>
      <c r="H528" s="248">
        <v>5.12</v>
      </c>
      <c r="I528" s="248">
        <v>42.32881</v>
      </c>
      <c r="J528" s="110">
        <v>1817.72</v>
      </c>
      <c r="K528" s="248">
        <v>42.32881</v>
      </c>
      <c r="L528" s="110">
        <v>1817.72</v>
      </c>
      <c r="M528" s="128">
        <f t="shared" si="91"/>
        <v>0.02328676033712563</v>
      </c>
      <c r="N528" s="137">
        <v>309.233</v>
      </c>
      <c r="O528" s="127">
        <f t="shared" si="92"/>
        <v>7.20103475933037</v>
      </c>
      <c r="P528" s="137">
        <f t="shared" si="93"/>
        <v>1397.2056202275378</v>
      </c>
      <c r="Q528" s="155">
        <f t="shared" si="94"/>
        <v>432.0620855598222</v>
      </c>
      <c r="S528" s="80"/>
      <c r="T528" s="80"/>
    </row>
    <row r="529" spans="1:20" ht="12.75" customHeight="1">
      <c r="A529" s="883"/>
      <c r="B529" s="35">
        <v>5</v>
      </c>
      <c r="C529" s="34" t="s">
        <v>513</v>
      </c>
      <c r="D529" s="35">
        <v>46</v>
      </c>
      <c r="E529" s="35">
        <v>1990</v>
      </c>
      <c r="F529" s="248">
        <f t="shared" si="90"/>
        <v>71.679</v>
      </c>
      <c r="G529" s="248">
        <v>3.81057</v>
      </c>
      <c r="H529" s="248">
        <v>7.36</v>
      </c>
      <c r="I529" s="248">
        <v>60.50843</v>
      </c>
      <c r="J529" s="110">
        <v>2558.37</v>
      </c>
      <c r="K529" s="248">
        <v>60.50843</v>
      </c>
      <c r="L529" s="110">
        <v>2558.37</v>
      </c>
      <c r="M529" s="128">
        <f t="shared" si="91"/>
        <v>0.023651164608715705</v>
      </c>
      <c r="N529" s="137">
        <v>309.233</v>
      </c>
      <c r="O529" s="127">
        <f t="shared" si="92"/>
        <v>7.313720585446983</v>
      </c>
      <c r="P529" s="137">
        <f t="shared" si="93"/>
        <v>1419.0698765229424</v>
      </c>
      <c r="Q529" s="155">
        <f t="shared" si="94"/>
        <v>438.82323512681904</v>
      </c>
      <c r="S529" s="80"/>
      <c r="T529" s="80"/>
    </row>
    <row r="530" spans="1:20" ht="12.75" customHeight="1">
      <c r="A530" s="883"/>
      <c r="B530" s="35">
        <v>6</v>
      </c>
      <c r="C530" s="34" t="s">
        <v>514</v>
      </c>
      <c r="D530" s="35">
        <v>24</v>
      </c>
      <c r="E530" s="35">
        <v>1983</v>
      </c>
      <c r="F530" s="248">
        <f t="shared" si="90"/>
        <v>41.317</v>
      </c>
      <c r="G530" s="248">
        <v>4.56195</v>
      </c>
      <c r="H530" s="248">
        <v>3.84</v>
      </c>
      <c r="I530" s="248">
        <v>32.91505</v>
      </c>
      <c r="J530" s="110">
        <v>1351.94</v>
      </c>
      <c r="K530" s="248">
        <v>32.91505</v>
      </c>
      <c r="L530" s="110">
        <v>1351.94</v>
      </c>
      <c r="M530" s="128">
        <f t="shared" si="91"/>
        <v>0.024346531650812905</v>
      </c>
      <c r="N530" s="137">
        <v>309.233</v>
      </c>
      <c r="O530" s="127">
        <f t="shared" si="92"/>
        <v>7.528751021975827</v>
      </c>
      <c r="P530" s="137">
        <f t="shared" si="93"/>
        <v>1460.7918990487742</v>
      </c>
      <c r="Q530" s="155">
        <f t="shared" si="94"/>
        <v>451.7250613185496</v>
      </c>
      <c r="S530" s="80"/>
      <c r="T530" s="80"/>
    </row>
    <row r="531" spans="1:20" ht="12.75" customHeight="1">
      <c r="A531" s="883"/>
      <c r="B531" s="35">
        <v>7</v>
      </c>
      <c r="C531" s="34" t="s">
        <v>515</v>
      </c>
      <c r="D531" s="35">
        <v>13</v>
      </c>
      <c r="E531" s="35">
        <v>1981</v>
      </c>
      <c r="F531" s="248">
        <f t="shared" si="90"/>
        <v>21.8</v>
      </c>
      <c r="G531" s="248">
        <v>1.93212</v>
      </c>
      <c r="H531" s="248">
        <v>1.92</v>
      </c>
      <c r="I531" s="248">
        <v>17.94788</v>
      </c>
      <c r="J531" s="110">
        <v>729.29</v>
      </c>
      <c r="K531" s="248">
        <v>17.94788</v>
      </c>
      <c r="L531" s="110">
        <v>729.29</v>
      </c>
      <c r="M531" s="128">
        <f t="shared" si="91"/>
        <v>0.024610072810541762</v>
      </c>
      <c r="N531" s="137">
        <v>309.233</v>
      </c>
      <c r="O531" s="127">
        <f t="shared" si="92"/>
        <v>7.610246645422261</v>
      </c>
      <c r="P531" s="137">
        <f t="shared" si="93"/>
        <v>1476.6043686325056</v>
      </c>
      <c r="Q531" s="155">
        <f t="shared" si="94"/>
        <v>456.6147987253356</v>
      </c>
      <c r="S531" s="80"/>
      <c r="T531" s="80"/>
    </row>
    <row r="532" spans="1:20" ht="12.75" customHeight="1">
      <c r="A532" s="883"/>
      <c r="B532" s="35">
        <v>8</v>
      </c>
      <c r="C532" s="34" t="s">
        <v>516</v>
      </c>
      <c r="D532" s="35">
        <v>36</v>
      </c>
      <c r="E532" s="35">
        <v>1984</v>
      </c>
      <c r="F532" s="248">
        <f t="shared" si="90"/>
        <v>62.89</v>
      </c>
      <c r="G532" s="248">
        <v>3.848354</v>
      </c>
      <c r="H532" s="248">
        <v>5.76</v>
      </c>
      <c r="I532" s="248">
        <v>53.281646</v>
      </c>
      <c r="J532" s="110">
        <v>2108.99</v>
      </c>
      <c r="K532" s="248">
        <v>53.281646</v>
      </c>
      <c r="L532" s="110">
        <v>2108.99</v>
      </c>
      <c r="M532" s="128">
        <f t="shared" si="91"/>
        <v>0.025264058151058092</v>
      </c>
      <c r="N532" s="137">
        <v>309.233</v>
      </c>
      <c r="O532" s="127">
        <f t="shared" si="92"/>
        <v>7.812480494226147</v>
      </c>
      <c r="P532" s="137">
        <f t="shared" si="93"/>
        <v>1515.8434890634855</v>
      </c>
      <c r="Q532" s="155">
        <f t="shared" si="94"/>
        <v>468.74882965356886</v>
      </c>
      <c r="S532" s="80"/>
      <c r="T532" s="80"/>
    </row>
    <row r="533" spans="1:20" ht="13.5" customHeight="1">
      <c r="A533" s="883"/>
      <c r="B533" s="35">
        <v>9</v>
      </c>
      <c r="C533" s="34" t="s">
        <v>517</v>
      </c>
      <c r="D533" s="35">
        <v>32</v>
      </c>
      <c r="E533" s="35">
        <v>1974</v>
      </c>
      <c r="F533" s="248">
        <f t="shared" si="90"/>
        <v>54.56</v>
      </c>
      <c r="G533" s="248">
        <v>3.515385</v>
      </c>
      <c r="H533" s="248">
        <v>4.96</v>
      </c>
      <c r="I533" s="248">
        <v>46.084615</v>
      </c>
      <c r="J533" s="110">
        <v>1820.68</v>
      </c>
      <c r="K533" s="248">
        <v>46.084615</v>
      </c>
      <c r="L533" s="110">
        <v>1820.68</v>
      </c>
      <c r="M533" s="128">
        <f t="shared" si="91"/>
        <v>0.025311759891908515</v>
      </c>
      <c r="N533" s="137">
        <v>309.233</v>
      </c>
      <c r="O533" s="127">
        <f t="shared" si="92"/>
        <v>7.827231446654546</v>
      </c>
      <c r="P533" s="137">
        <f t="shared" si="93"/>
        <v>1518.7055935145108</v>
      </c>
      <c r="Q533" s="155">
        <f t="shared" si="94"/>
        <v>469.6338867992727</v>
      </c>
      <c r="S533" s="80"/>
      <c r="T533" s="80"/>
    </row>
    <row r="534" spans="1:20" ht="13.5" customHeight="1" thickBot="1">
      <c r="A534" s="884"/>
      <c r="B534" s="83"/>
      <c r="C534" s="76" t="s">
        <v>518</v>
      </c>
      <c r="D534" s="37">
        <v>22</v>
      </c>
      <c r="E534" s="37">
        <v>1974</v>
      </c>
      <c r="F534" s="250">
        <f t="shared" si="90"/>
        <v>27.071</v>
      </c>
      <c r="G534" s="250"/>
      <c r="H534" s="250"/>
      <c r="I534" s="250">
        <v>27.071</v>
      </c>
      <c r="J534" s="171">
        <v>1064.69</v>
      </c>
      <c r="K534" s="250">
        <v>27.071</v>
      </c>
      <c r="L534" s="171">
        <v>1064.69</v>
      </c>
      <c r="M534" s="205">
        <f t="shared" si="91"/>
        <v>0.025426180390536214</v>
      </c>
      <c r="N534" s="158">
        <v>309.233</v>
      </c>
      <c r="O534" s="158">
        <f t="shared" si="92"/>
        <v>7.862614040706685</v>
      </c>
      <c r="P534" s="158">
        <f t="shared" si="93"/>
        <v>1525.5708234321728</v>
      </c>
      <c r="Q534" s="159">
        <f t="shared" si="94"/>
        <v>471.7568424424011</v>
      </c>
      <c r="S534" s="80"/>
      <c r="T534" s="80"/>
    </row>
    <row r="535" spans="1:20" ht="12.75">
      <c r="A535" s="1003" t="s">
        <v>30</v>
      </c>
      <c r="B535" s="218">
        <v>1</v>
      </c>
      <c r="C535" s="280" t="s">
        <v>519</v>
      </c>
      <c r="D535" s="262">
        <v>13</v>
      </c>
      <c r="E535" s="262">
        <v>1959</v>
      </c>
      <c r="F535" s="325">
        <f t="shared" si="90"/>
        <v>14.5841</v>
      </c>
      <c r="G535" s="325"/>
      <c r="H535" s="325"/>
      <c r="I535" s="325">
        <v>14.5841</v>
      </c>
      <c r="J535" s="331">
        <v>562.28</v>
      </c>
      <c r="K535" s="325">
        <v>14.5841</v>
      </c>
      <c r="L535" s="331">
        <v>562.28</v>
      </c>
      <c r="M535" s="268">
        <f t="shared" si="91"/>
        <v>0.02593743330724906</v>
      </c>
      <c r="N535" s="267">
        <v>309.233</v>
      </c>
      <c r="O535" s="267">
        <f t="shared" si="92"/>
        <v>8.020710313900548</v>
      </c>
      <c r="P535" s="267">
        <f t="shared" si="93"/>
        <v>1556.2459984349434</v>
      </c>
      <c r="Q535" s="269">
        <f t="shared" si="94"/>
        <v>481.24261883403284</v>
      </c>
      <c r="S535" s="80"/>
      <c r="T535" s="80"/>
    </row>
    <row r="536" spans="1:20" ht="12.75">
      <c r="A536" s="939"/>
      <c r="B536" s="219">
        <v>2</v>
      </c>
      <c r="C536" s="256" t="s">
        <v>520</v>
      </c>
      <c r="D536" s="219">
        <v>24</v>
      </c>
      <c r="E536" s="219">
        <v>1964</v>
      </c>
      <c r="F536" s="270">
        <f t="shared" si="90"/>
        <v>29.79</v>
      </c>
      <c r="G536" s="270"/>
      <c r="H536" s="270"/>
      <c r="I536" s="270">
        <v>29.79</v>
      </c>
      <c r="J536" s="261">
        <v>1103</v>
      </c>
      <c r="K536" s="270">
        <v>29.79</v>
      </c>
      <c r="L536" s="261">
        <v>1103</v>
      </c>
      <c r="M536" s="272">
        <f t="shared" si="91"/>
        <v>0.02700815956482321</v>
      </c>
      <c r="N536" s="267">
        <v>309.233</v>
      </c>
      <c r="O536" s="271">
        <f t="shared" si="92"/>
        <v>8.351814206708976</v>
      </c>
      <c r="P536" s="267">
        <f t="shared" si="93"/>
        <v>1620.4895738893924</v>
      </c>
      <c r="Q536" s="273">
        <f t="shared" si="94"/>
        <v>501.10885240253845</v>
      </c>
      <c r="S536" s="80"/>
      <c r="T536" s="80"/>
    </row>
    <row r="537" spans="1:20" ht="12.75">
      <c r="A537" s="939"/>
      <c r="B537" s="219">
        <v>3</v>
      </c>
      <c r="C537" s="256" t="s">
        <v>521</v>
      </c>
      <c r="D537" s="219">
        <v>17</v>
      </c>
      <c r="E537" s="219">
        <v>1962</v>
      </c>
      <c r="F537" s="270">
        <f t="shared" si="90"/>
        <v>22.27</v>
      </c>
      <c r="G537" s="270"/>
      <c r="H537" s="270"/>
      <c r="I537" s="270">
        <v>22.27</v>
      </c>
      <c r="J537" s="261">
        <v>821.23</v>
      </c>
      <c r="K537" s="270">
        <v>22.27</v>
      </c>
      <c r="L537" s="261">
        <v>821.23</v>
      </c>
      <c r="M537" s="272">
        <f t="shared" si="91"/>
        <v>0.027117859795672345</v>
      </c>
      <c r="N537" s="267">
        <v>309.233</v>
      </c>
      <c r="O537" s="271">
        <f t="shared" si="92"/>
        <v>8.385737138195147</v>
      </c>
      <c r="P537" s="267">
        <f t="shared" si="93"/>
        <v>1627.0715877403409</v>
      </c>
      <c r="Q537" s="273">
        <f t="shared" si="94"/>
        <v>503.1442282917089</v>
      </c>
      <c r="S537" s="80"/>
      <c r="T537" s="80"/>
    </row>
    <row r="538" spans="1:20" ht="12.75">
      <c r="A538" s="939"/>
      <c r="B538" s="219">
        <v>4</v>
      </c>
      <c r="C538" s="256" t="s">
        <v>522</v>
      </c>
      <c r="D538" s="219">
        <v>40</v>
      </c>
      <c r="E538" s="219">
        <v>1969</v>
      </c>
      <c r="F538" s="270">
        <f t="shared" si="90"/>
        <v>51.904</v>
      </c>
      <c r="G538" s="270"/>
      <c r="H538" s="270"/>
      <c r="I538" s="270">
        <v>51.904</v>
      </c>
      <c r="J538" s="261">
        <v>1881.33</v>
      </c>
      <c r="K538" s="270">
        <v>51.904</v>
      </c>
      <c r="L538" s="261">
        <v>1881.33</v>
      </c>
      <c r="M538" s="272">
        <f t="shared" si="91"/>
        <v>0.02758899289332547</v>
      </c>
      <c r="N538" s="267">
        <v>309.233</v>
      </c>
      <c r="O538" s="271">
        <f t="shared" si="92"/>
        <v>8.531427039381715</v>
      </c>
      <c r="P538" s="267">
        <f t="shared" si="93"/>
        <v>1655.3395735995282</v>
      </c>
      <c r="Q538" s="273">
        <f t="shared" si="94"/>
        <v>511.8856223629029</v>
      </c>
      <c r="S538" s="80"/>
      <c r="T538" s="80"/>
    </row>
    <row r="539" spans="1:20" ht="12.75">
      <c r="A539" s="939"/>
      <c r="B539" s="219">
        <v>5</v>
      </c>
      <c r="C539" s="256" t="s">
        <v>523</v>
      </c>
      <c r="D539" s="219">
        <v>24</v>
      </c>
      <c r="E539" s="219">
        <v>1968</v>
      </c>
      <c r="F539" s="270">
        <f t="shared" si="90"/>
        <v>28.622</v>
      </c>
      <c r="G539" s="270"/>
      <c r="H539" s="270"/>
      <c r="I539" s="270">
        <v>28.622</v>
      </c>
      <c r="J539" s="261">
        <v>1023.47</v>
      </c>
      <c r="K539" s="270">
        <v>28.622</v>
      </c>
      <c r="L539" s="261">
        <v>1023.47</v>
      </c>
      <c r="M539" s="272">
        <f t="shared" si="91"/>
        <v>0.02796564628176693</v>
      </c>
      <c r="N539" s="267">
        <v>309.233</v>
      </c>
      <c r="O539" s="271">
        <f t="shared" si="92"/>
        <v>8.647900696649634</v>
      </c>
      <c r="P539" s="267">
        <f t="shared" si="93"/>
        <v>1677.9387769060156</v>
      </c>
      <c r="Q539" s="273">
        <f t="shared" si="94"/>
        <v>518.8740417989779</v>
      </c>
      <c r="S539" s="80"/>
      <c r="T539" s="80"/>
    </row>
    <row r="540" spans="1:20" ht="12.75">
      <c r="A540" s="939"/>
      <c r="B540" s="219">
        <v>6</v>
      </c>
      <c r="C540" s="256" t="s">
        <v>524</v>
      </c>
      <c r="D540" s="219">
        <v>54</v>
      </c>
      <c r="E540" s="219">
        <v>1992</v>
      </c>
      <c r="F540" s="270">
        <f t="shared" si="90"/>
        <v>104.159</v>
      </c>
      <c r="G540" s="270">
        <v>4.72296</v>
      </c>
      <c r="H540" s="270">
        <v>8.42</v>
      </c>
      <c r="I540" s="270">
        <v>91.01604</v>
      </c>
      <c r="J540" s="261">
        <v>3243.5</v>
      </c>
      <c r="K540" s="270">
        <v>91.01604</v>
      </c>
      <c r="L540" s="261">
        <v>3243.5</v>
      </c>
      <c r="M540" s="272">
        <f t="shared" si="91"/>
        <v>0.028061057499614614</v>
      </c>
      <c r="N540" s="267">
        <v>309.233</v>
      </c>
      <c r="O540" s="271">
        <f t="shared" si="92"/>
        <v>8.677404993778326</v>
      </c>
      <c r="P540" s="267">
        <f t="shared" si="93"/>
        <v>1683.6634499768768</v>
      </c>
      <c r="Q540" s="273">
        <f t="shared" si="94"/>
        <v>520.6442996266995</v>
      </c>
      <c r="S540" s="80"/>
      <c r="T540" s="80"/>
    </row>
    <row r="541" spans="1:20" ht="12.75">
      <c r="A541" s="939"/>
      <c r="B541" s="219">
        <v>7</v>
      </c>
      <c r="C541" s="256" t="s">
        <v>525</v>
      </c>
      <c r="D541" s="219">
        <v>24</v>
      </c>
      <c r="E541" s="219">
        <v>1968</v>
      </c>
      <c r="F541" s="270">
        <f t="shared" si="90"/>
        <v>30.21</v>
      </c>
      <c r="G541" s="270"/>
      <c r="H541" s="270"/>
      <c r="I541" s="270">
        <v>30.21</v>
      </c>
      <c r="J541" s="261">
        <v>1012.02</v>
      </c>
      <c r="K541" s="270">
        <v>30.21</v>
      </c>
      <c r="L541" s="261">
        <v>1012.02</v>
      </c>
      <c r="M541" s="272">
        <f t="shared" si="91"/>
        <v>0.02985118871168554</v>
      </c>
      <c r="N541" s="267">
        <v>309.233</v>
      </c>
      <c r="O541" s="271">
        <f t="shared" si="92"/>
        <v>9.230972638880655</v>
      </c>
      <c r="P541" s="267">
        <f t="shared" si="93"/>
        <v>1791.0713227011327</v>
      </c>
      <c r="Q541" s="273">
        <f t="shared" si="94"/>
        <v>553.8583583328393</v>
      </c>
      <c r="S541" s="80"/>
      <c r="T541" s="80"/>
    </row>
    <row r="542" spans="1:20" ht="12.75">
      <c r="A542" s="939"/>
      <c r="B542" s="219">
        <v>8</v>
      </c>
      <c r="C542" s="256" t="s">
        <v>526</v>
      </c>
      <c r="D542" s="219">
        <v>24</v>
      </c>
      <c r="E542" s="219">
        <v>1966</v>
      </c>
      <c r="F542" s="270">
        <f t="shared" si="90"/>
        <v>33.513</v>
      </c>
      <c r="G542" s="270"/>
      <c r="H542" s="270"/>
      <c r="I542" s="270">
        <v>33.513</v>
      </c>
      <c r="J542" s="261">
        <v>1087.21</v>
      </c>
      <c r="K542" s="270">
        <v>33.513</v>
      </c>
      <c r="L542" s="261">
        <v>1087.21</v>
      </c>
      <c r="M542" s="272">
        <f t="shared" si="91"/>
        <v>0.030824771663248127</v>
      </c>
      <c r="N542" s="267">
        <v>309.233</v>
      </c>
      <c r="O542" s="271">
        <f t="shared" si="92"/>
        <v>9.532036615741209</v>
      </c>
      <c r="P542" s="267">
        <f t="shared" si="93"/>
        <v>1849.4862997948876</v>
      </c>
      <c r="Q542" s="273">
        <f t="shared" si="94"/>
        <v>571.9221969444725</v>
      </c>
      <c r="S542" s="80"/>
      <c r="T542" s="80"/>
    </row>
    <row r="543" spans="1:20" ht="12.75">
      <c r="A543" s="940"/>
      <c r="B543" s="231">
        <v>9</v>
      </c>
      <c r="C543" s="256" t="s">
        <v>527</v>
      </c>
      <c r="D543" s="219">
        <v>43</v>
      </c>
      <c r="E543" s="219">
        <v>1986</v>
      </c>
      <c r="F543" s="270">
        <f t="shared" si="90"/>
        <v>53.589999999999996</v>
      </c>
      <c r="G543" s="270">
        <v>2.568217</v>
      </c>
      <c r="H543" s="270">
        <v>4.46</v>
      </c>
      <c r="I543" s="270">
        <v>46.561783</v>
      </c>
      <c r="J543" s="261">
        <v>1472.24</v>
      </c>
      <c r="K543" s="270">
        <v>46.561783</v>
      </c>
      <c r="L543" s="261">
        <v>1472.24</v>
      </c>
      <c r="M543" s="272">
        <f t="shared" si="91"/>
        <v>0.031626489566918436</v>
      </c>
      <c r="N543" s="267">
        <v>309.233</v>
      </c>
      <c r="O543" s="271">
        <f t="shared" si="92"/>
        <v>9.77995424824689</v>
      </c>
      <c r="P543" s="267">
        <f t="shared" si="93"/>
        <v>1897.5893740151062</v>
      </c>
      <c r="Q543" s="273">
        <f t="shared" si="94"/>
        <v>586.7972548948132</v>
      </c>
      <c r="S543" s="80"/>
      <c r="T543" s="80"/>
    </row>
    <row r="544" spans="1:20" ht="13.5" thickBot="1">
      <c r="A544" s="941"/>
      <c r="B544" s="232">
        <v>10</v>
      </c>
      <c r="C544" s="281" t="s">
        <v>528</v>
      </c>
      <c r="D544" s="231">
        <v>47</v>
      </c>
      <c r="E544" s="231">
        <v>1969</v>
      </c>
      <c r="F544" s="393">
        <f t="shared" si="90"/>
        <v>70.503</v>
      </c>
      <c r="G544" s="393">
        <v>3.05919</v>
      </c>
      <c r="H544" s="393">
        <v>7.44</v>
      </c>
      <c r="I544" s="393">
        <v>60.00381</v>
      </c>
      <c r="J544" s="400">
        <v>1893.25</v>
      </c>
      <c r="K544" s="393">
        <v>60.00381</v>
      </c>
      <c r="L544" s="400">
        <v>1893.25</v>
      </c>
      <c r="M544" s="276">
        <f t="shared" si="91"/>
        <v>0.03169354813151987</v>
      </c>
      <c r="N544" s="275">
        <v>309.233</v>
      </c>
      <c r="O544" s="275">
        <f t="shared" si="92"/>
        <v>9.800690969354285</v>
      </c>
      <c r="P544" s="275">
        <f t="shared" si="93"/>
        <v>1901.6128878911925</v>
      </c>
      <c r="Q544" s="277">
        <f t="shared" si="94"/>
        <v>588.0414581612571</v>
      </c>
      <c r="S544" s="80"/>
      <c r="T544" s="80"/>
    </row>
    <row r="545" spans="1:20" ht="12.75">
      <c r="A545" s="901" t="s">
        <v>12</v>
      </c>
      <c r="B545" s="38">
        <v>1</v>
      </c>
      <c r="C545" s="259" t="s">
        <v>529</v>
      </c>
      <c r="D545" s="38">
        <v>5</v>
      </c>
      <c r="E545" s="38">
        <v>1825</v>
      </c>
      <c r="F545" s="394">
        <f t="shared" si="90"/>
        <v>7.315</v>
      </c>
      <c r="G545" s="394"/>
      <c r="H545" s="394"/>
      <c r="I545" s="394">
        <v>7.315</v>
      </c>
      <c r="J545" s="334">
        <v>230.53</v>
      </c>
      <c r="K545" s="394">
        <v>7.315</v>
      </c>
      <c r="L545" s="334">
        <v>230.53</v>
      </c>
      <c r="M545" s="283">
        <f t="shared" si="91"/>
        <v>0.03173122803973453</v>
      </c>
      <c r="N545" s="284">
        <v>309.233</v>
      </c>
      <c r="O545" s="284">
        <f t="shared" si="92"/>
        <v>9.812342840411228</v>
      </c>
      <c r="P545" s="284">
        <f t="shared" si="93"/>
        <v>1903.8736823840716</v>
      </c>
      <c r="Q545" s="285">
        <f t="shared" si="94"/>
        <v>588.7405704246736</v>
      </c>
      <c r="S545" s="80"/>
      <c r="T545" s="80"/>
    </row>
    <row r="546" spans="1:20" ht="12.75">
      <c r="A546" s="902"/>
      <c r="B546" s="40">
        <v>2</v>
      </c>
      <c r="C546" s="45" t="s">
        <v>530</v>
      </c>
      <c r="D546" s="40">
        <v>12</v>
      </c>
      <c r="E546" s="40">
        <v>1962</v>
      </c>
      <c r="F546" s="295">
        <f t="shared" si="90"/>
        <v>15.72</v>
      </c>
      <c r="G546" s="295"/>
      <c r="H546" s="295"/>
      <c r="I546" s="295">
        <v>15.72</v>
      </c>
      <c r="J546" s="297">
        <v>529.97</v>
      </c>
      <c r="K546" s="295">
        <v>15.462</v>
      </c>
      <c r="L546" s="297">
        <v>486.49</v>
      </c>
      <c r="M546" s="289">
        <f t="shared" si="91"/>
        <v>0.031782770457768915</v>
      </c>
      <c r="N546" s="284">
        <v>309.233</v>
      </c>
      <c r="O546" s="290">
        <f t="shared" si="92"/>
        <v>9.828281456967256</v>
      </c>
      <c r="P546" s="284">
        <f t="shared" si="93"/>
        <v>1906.966227466135</v>
      </c>
      <c r="Q546" s="291">
        <f t="shared" si="94"/>
        <v>589.6968874180353</v>
      </c>
      <c r="S546" s="80"/>
      <c r="T546" s="80"/>
    </row>
    <row r="547" spans="1:20" ht="12.75">
      <c r="A547" s="902"/>
      <c r="B547" s="40">
        <v>3</v>
      </c>
      <c r="C547" s="45" t="s">
        <v>531</v>
      </c>
      <c r="D547" s="40">
        <v>12</v>
      </c>
      <c r="E547" s="40">
        <v>1925</v>
      </c>
      <c r="F547" s="295">
        <f t="shared" si="90"/>
        <v>17.34</v>
      </c>
      <c r="G547" s="295"/>
      <c r="H547" s="295"/>
      <c r="I547" s="295">
        <v>17.34</v>
      </c>
      <c r="J547" s="297">
        <v>512.15</v>
      </c>
      <c r="K547" s="295">
        <v>17.34</v>
      </c>
      <c r="L547" s="297">
        <v>512.15</v>
      </c>
      <c r="M547" s="289">
        <f t="shared" si="91"/>
        <v>0.03385726837840477</v>
      </c>
      <c r="N547" s="284">
        <v>309.233</v>
      </c>
      <c r="O547" s="290">
        <f t="shared" si="92"/>
        <v>10.469784672459243</v>
      </c>
      <c r="P547" s="284">
        <f t="shared" si="93"/>
        <v>2031.4361027042862</v>
      </c>
      <c r="Q547" s="291">
        <f t="shared" si="94"/>
        <v>628.1870803475546</v>
      </c>
      <c r="S547" s="80"/>
      <c r="T547" s="80"/>
    </row>
    <row r="548" spans="1:20" ht="12.75">
      <c r="A548" s="902"/>
      <c r="B548" s="40">
        <v>4</v>
      </c>
      <c r="C548" s="45" t="s">
        <v>532</v>
      </c>
      <c r="D548" s="40">
        <v>5</v>
      </c>
      <c r="E548" s="40">
        <v>1961</v>
      </c>
      <c r="F548" s="295">
        <f t="shared" si="90"/>
        <v>7.0988</v>
      </c>
      <c r="G548" s="295"/>
      <c r="H548" s="295"/>
      <c r="I548" s="295">
        <v>7.0988</v>
      </c>
      <c r="J548" s="297">
        <v>186.3</v>
      </c>
      <c r="K548" s="295">
        <v>7.0988</v>
      </c>
      <c r="L548" s="297">
        <v>186.3</v>
      </c>
      <c r="M548" s="289">
        <f t="shared" si="91"/>
        <v>0.03810413311862587</v>
      </c>
      <c r="N548" s="284">
        <v>309.233</v>
      </c>
      <c r="O548" s="290">
        <f t="shared" si="92"/>
        <v>11.783055396672035</v>
      </c>
      <c r="P548" s="284">
        <f t="shared" si="93"/>
        <v>2286.2479871175524</v>
      </c>
      <c r="Q548" s="291">
        <f t="shared" si="94"/>
        <v>706.9833238003222</v>
      </c>
      <c r="S548" s="80"/>
      <c r="T548" s="80"/>
    </row>
    <row r="549" spans="1:20" ht="12.75">
      <c r="A549" s="902"/>
      <c r="B549" s="40">
        <v>5</v>
      </c>
      <c r="C549" s="45" t="s">
        <v>533</v>
      </c>
      <c r="D549" s="40">
        <v>12</v>
      </c>
      <c r="E549" s="40">
        <v>1963</v>
      </c>
      <c r="F549" s="295">
        <f t="shared" si="90"/>
        <v>22.411</v>
      </c>
      <c r="G549" s="295">
        <v>0.48303</v>
      </c>
      <c r="H549" s="295">
        <v>0.57</v>
      </c>
      <c r="I549" s="295">
        <v>21.35797</v>
      </c>
      <c r="J549" s="297">
        <v>534.54</v>
      </c>
      <c r="K549" s="295">
        <v>21.35797</v>
      </c>
      <c r="L549" s="297">
        <v>534.54</v>
      </c>
      <c r="M549" s="289">
        <f t="shared" si="91"/>
        <v>0.03995579376660307</v>
      </c>
      <c r="N549" s="284">
        <v>309.233</v>
      </c>
      <c r="O549" s="290">
        <f t="shared" si="92"/>
        <v>12.355649973827967</v>
      </c>
      <c r="P549" s="284">
        <f t="shared" si="93"/>
        <v>2397.347625996184</v>
      </c>
      <c r="Q549" s="291">
        <f t="shared" si="94"/>
        <v>741.3389984296779</v>
      </c>
      <c r="S549" s="80"/>
      <c r="T549" s="80"/>
    </row>
    <row r="550" spans="1:20" ht="12.75">
      <c r="A550" s="902"/>
      <c r="B550" s="40">
        <v>6</v>
      </c>
      <c r="C550" s="45" t="s">
        <v>534</v>
      </c>
      <c r="D550" s="40">
        <v>12</v>
      </c>
      <c r="E550" s="40">
        <v>1968</v>
      </c>
      <c r="F550" s="295">
        <f t="shared" si="90"/>
        <v>30.588</v>
      </c>
      <c r="G550" s="295">
        <v>0.85872</v>
      </c>
      <c r="H550" s="295">
        <v>0.1</v>
      </c>
      <c r="I550" s="295">
        <v>29.62928</v>
      </c>
      <c r="J550" s="297">
        <v>725.5</v>
      </c>
      <c r="K550" s="295">
        <v>29.62928</v>
      </c>
      <c r="L550" s="297">
        <v>725.5</v>
      </c>
      <c r="M550" s="289">
        <f t="shared" si="91"/>
        <v>0.04083980702963474</v>
      </c>
      <c r="N550" s="284">
        <v>309.233</v>
      </c>
      <c r="O550" s="290">
        <f t="shared" si="92"/>
        <v>12.629016047195039</v>
      </c>
      <c r="P550" s="284">
        <f t="shared" si="93"/>
        <v>2450.388421778084</v>
      </c>
      <c r="Q550" s="291">
        <f t="shared" si="94"/>
        <v>757.7409628317023</v>
      </c>
      <c r="S550" s="80"/>
      <c r="T550" s="80"/>
    </row>
    <row r="551" spans="1:20" ht="12.75">
      <c r="A551" s="902"/>
      <c r="B551" s="40">
        <v>7</v>
      </c>
      <c r="C551" s="45" t="s">
        <v>535</v>
      </c>
      <c r="D551" s="40">
        <v>4</v>
      </c>
      <c r="E551" s="40">
        <v>1961</v>
      </c>
      <c r="F551" s="295">
        <f t="shared" si="90"/>
        <v>5.33</v>
      </c>
      <c r="G551" s="295"/>
      <c r="H551" s="295"/>
      <c r="I551" s="295">
        <v>5.33</v>
      </c>
      <c r="J551" s="297">
        <v>193.05</v>
      </c>
      <c r="K551" s="295">
        <v>4.9281</v>
      </c>
      <c r="L551" s="297">
        <v>120.27</v>
      </c>
      <c r="M551" s="289">
        <f t="shared" si="91"/>
        <v>0.04097530556248441</v>
      </c>
      <c r="N551" s="284">
        <v>309.233</v>
      </c>
      <c r="O551" s="290">
        <f t="shared" si="92"/>
        <v>12.670916665003741</v>
      </c>
      <c r="P551" s="284">
        <f t="shared" si="93"/>
        <v>2458.5183337490644</v>
      </c>
      <c r="Q551" s="291">
        <f t="shared" si="94"/>
        <v>760.2549999002243</v>
      </c>
      <c r="S551" s="80"/>
      <c r="T551" s="80"/>
    </row>
    <row r="552" spans="1:20" ht="12.75">
      <c r="A552" s="902"/>
      <c r="B552" s="40">
        <v>8</v>
      </c>
      <c r="C552" s="45" t="s">
        <v>536</v>
      </c>
      <c r="D552" s="40">
        <v>13</v>
      </c>
      <c r="E552" s="40">
        <v>1958</v>
      </c>
      <c r="F552" s="295">
        <f t="shared" si="90"/>
        <v>24.16</v>
      </c>
      <c r="G552" s="295"/>
      <c r="H552" s="295"/>
      <c r="I552" s="295">
        <v>24.16</v>
      </c>
      <c r="J552" s="297">
        <v>653.78</v>
      </c>
      <c r="K552" s="295">
        <v>22.7666</v>
      </c>
      <c r="L552" s="297">
        <v>444.31</v>
      </c>
      <c r="M552" s="289">
        <f t="shared" si="91"/>
        <v>0.0512403502059373</v>
      </c>
      <c r="N552" s="284">
        <v>309.233</v>
      </c>
      <c r="O552" s="290">
        <f t="shared" si="92"/>
        <v>15.845207215232609</v>
      </c>
      <c r="P552" s="284">
        <f t="shared" si="93"/>
        <v>3074.421012356238</v>
      </c>
      <c r="Q552" s="291">
        <f t="shared" si="94"/>
        <v>950.7124329139566</v>
      </c>
      <c r="S552" s="80"/>
      <c r="T552" s="80"/>
    </row>
    <row r="553" spans="1:20" ht="12.75">
      <c r="A553" s="902"/>
      <c r="B553" s="40">
        <v>9</v>
      </c>
      <c r="C553" s="45"/>
      <c r="D553" s="40"/>
      <c r="E553" s="40"/>
      <c r="F553" s="156"/>
      <c r="G553" s="133"/>
      <c r="H553" s="133"/>
      <c r="I553" s="133"/>
      <c r="J553" s="330"/>
      <c r="K553" s="579"/>
      <c r="L553" s="330"/>
      <c r="M553" s="162"/>
      <c r="N553" s="133"/>
      <c r="O553" s="133"/>
      <c r="P553" s="138"/>
      <c r="Q553" s="134"/>
      <c r="S553" s="80"/>
      <c r="T553" s="80"/>
    </row>
    <row r="554" spans="1:20" ht="13.5" thickBot="1">
      <c r="A554" s="903"/>
      <c r="B554" s="42">
        <v>10</v>
      </c>
      <c r="C554" s="46"/>
      <c r="D554" s="42"/>
      <c r="E554" s="42"/>
      <c r="F554" s="50"/>
      <c r="G554" s="50"/>
      <c r="H554" s="50"/>
      <c r="I554" s="50"/>
      <c r="J554" s="51"/>
      <c r="K554" s="47"/>
      <c r="L554" s="51"/>
      <c r="M554" s="74"/>
      <c r="N554" s="50"/>
      <c r="O554" s="85"/>
      <c r="P554" s="50"/>
      <c r="Q554" s="44"/>
      <c r="S554" s="80"/>
      <c r="T554" s="80"/>
    </row>
    <row r="555" spans="19:20" ht="12.75">
      <c r="S555" s="80"/>
      <c r="T555" s="80"/>
    </row>
    <row r="556" spans="19:20" ht="12.75">
      <c r="S556" s="80"/>
      <c r="T556" s="80"/>
    </row>
    <row r="557" spans="19:20" ht="12.75">
      <c r="S557" s="80"/>
      <c r="T557" s="80"/>
    </row>
    <row r="558" spans="1:20" ht="15">
      <c r="A558" s="907" t="s">
        <v>66</v>
      </c>
      <c r="B558" s="907"/>
      <c r="C558" s="907"/>
      <c r="D558" s="907"/>
      <c r="E558" s="907"/>
      <c r="F558" s="907"/>
      <c r="G558" s="907"/>
      <c r="H558" s="907"/>
      <c r="I558" s="907"/>
      <c r="J558" s="907"/>
      <c r="K558" s="907"/>
      <c r="L558" s="907"/>
      <c r="M558" s="907"/>
      <c r="N558" s="907"/>
      <c r="O558" s="907"/>
      <c r="P558" s="907"/>
      <c r="Q558" s="907"/>
      <c r="S558" s="80"/>
      <c r="T558" s="80"/>
    </row>
    <row r="559" spans="1:20" ht="13.5" thickBot="1">
      <c r="A559" s="894" t="s">
        <v>299</v>
      </c>
      <c r="B559" s="894"/>
      <c r="C559" s="894"/>
      <c r="D559" s="894"/>
      <c r="E559" s="894"/>
      <c r="F559" s="894"/>
      <c r="G559" s="894"/>
      <c r="H559" s="894"/>
      <c r="I559" s="894"/>
      <c r="J559" s="894"/>
      <c r="K559" s="894"/>
      <c r="L559" s="894"/>
      <c r="M559" s="894"/>
      <c r="N559" s="894"/>
      <c r="O559" s="894"/>
      <c r="P559" s="894"/>
      <c r="Q559" s="894"/>
      <c r="S559" s="80"/>
      <c r="T559" s="80"/>
    </row>
    <row r="560" spans="1:20" ht="12.75" customHeight="1">
      <c r="A560" s="885" t="s">
        <v>1</v>
      </c>
      <c r="B560" s="908" t="s">
        <v>0</v>
      </c>
      <c r="C560" s="880" t="s">
        <v>2</v>
      </c>
      <c r="D560" s="880" t="s">
        <v>3</v>
      </c>
      <c r="E560" s="880" t="s">
        <v>13</v>
      </c>
      <c r="F560" s="911" t="s">
        <v>14</v>
      </c>
      <c r="G560" s="912"/>
      <c r="H560" s="912"/>
      <c r="I560" s="913"/>
      <c r="J560" s="880" t="s">
        <v>4</v>
      </c>
      <c r="K560" s="880" t="s">
        <v>15</v>
      </c>
      <c r="L560" s="880" t="s">
        <v>5</v>
      </c>
      <c r="M560" s="880" t="s">
        <v>6</v>
      </c>
      <c r="N560" s="880" t="s">
        <v>16</v>
      </c>
      <c r="O560" s="892" t="s">
        <v>17</v>
      </c>
      <c r="P560" s="880" t="s">
        <v>25</v>
      </c>
      <c r="Q560" s="890" t="s">
        <v>26</v>
      </c>
      <c r="S560" s="80"/>
      <c r="T560" s="80"/>
    </row>
    <row r="561" spans="1:20" s="2" customFormat="1" ht="33.75">
      <c r="A561" s="886"/>
      <c r="B561" s="909"/>
      <c r="C561" s="888"/>
      <c r="D561" s="881"/>
      <c r="E561" s="881"/>
      <c r="F561" s="36" t="s">
        <v>18</v>
      </c>
      <c r="G561" s="36" t="s">
        <v>19</v>
      </c>
      <c r="H561" s="36" t="s">
        <v>20</v>
      </c>
      <c r="I561" s="36" t="s">
        <v>21</v>
      </c>
      <c r="J561" s="881"/>
      <c r="K561" s="881"/>
      <c r="L561" s="881"/>
      <c r="M561" s="881"/>
      <c r="N561" s="881"/>
      <c r="O561" s="893"/>
      <c r="P561" s="881"/>
      <c r="Q561" s="891"/>
      <c r="S561" s="80"/>
      <c r="T561" s="80"/>
    </row>
    <row r="562" spans="1:20" s="3" customFormat="1" ht="13.5" customHeight="1" thickBot="1">
      <c r="A562" s="887"/>
      <c r="B562" s="910"/>
      <c r="C562" s="889"/>
      <c r="D562" s="52" t="s">
        <v>7</v>
      </c>
      <c r="E562" s="52" t="s">
        <v>8</v>
      </c>
      <c r="F562" s="52" t="s">
        <v>9</v>
      </c>
      <c r="G562" s="52" t="s">
        <v>9</v>
      </c>
      <c r="H562" s="52" t="s">
        <v>9</v>
      </c>
      <c r="I562" s="52" t="s">
        <v>9</v>
      </c>
      <c r="J562" s="52" t="s">
        <v>22</v>
      </c>
      <c r="K562" s="52" t="s">
        <v>9</v>
      </c>
      <c r="L562" s="52" t="s">
        <v>22</v>
      </c>
      <c r="M562" s="52" t="s">
        <v>69</v>
      </c>
      <c r="N562" s="52" t="s">
        <v>10</v>
      </c>
      <c r="O562" s="52" t="s">
        <v>70</v>
      </c>
      <c r="P562" s="53" t="s">
        <v>27</v>
      </c>
      <c r="Q562" s="54" t="s">
        <v>28</v>
      </c>
      <c r="S562" s="80"/>
      <c r="T562" s="80"/>
    </row>
    <row r="563" spans="1:20" ht="12.75">
      <c r="A563" s="1031" t="s">
        <v>11</v>
      </c>
      <c r="B563" s="55">
        <v>1</v>
      </c>
      <c r="C563" s="241" t="s">
        <v>537</v>
      </c>
      <c r="D563" s="191">
        <v>16</v>
      </c>
      <c r="E563" s="191">
        <v>2009</v>
      </c>
      <c r="F563" s="348">
        <v>46.723</v>
      </c>
      <c r="G563" s="348">
        <v>1.938</v>
      </c>
      <c r="H563" s="348">
        <v>4.32</v>
      </c>
      <c r="I563" s="348">
        <v>40.465</v>
      </c>
      <c r="J563" s="350">
        <v>3628.96</v>
      </c>
      <c r="K563" s="808">
        <v>19.82</v>
      </c>
      <c r="L563" s="350">
        <v>1735.86</v>
      </c>
      <c r="M563" s="573">
        <f aca="true" t="shared" si="95" ref="M563:M602">K563/L563</f>
        <v>0.011417971495397096</v>
      </c>
      <c r="N563" s="190">
        <v>330.488</v>
      </c>
      <c r="O563" s="173">
        <f aca="true" t="shared" si="96" ref="O563:O602">M563*N563</f>
        <v>3.7735025635707955</v>
      </c>
      <c r="P563" s="173">
        <f aca="true" t="shared" si="97" ref="P563:P602">M563*60*1000</f>
        <v>685.0782897238258</v>
      </c>
      <c r="Q563" s="451">
        <f aca="true" t="shared" si="98" ref="Q563:Q602">P563*N563/1000</f>
        <v>226.41015381424776</v>
      </c>
      <c r="R563" s="6"/>
      <c r="S563" s="80"/>
      <c r="T563" s="80"/>
    </row>
    <row r="564" spans="1:20" ht="12.75">
      <c r="A564" s="1032"/>
      <c r="B564" s="31">
        <v>2</v>
      </c>
      <c r="C564" s="241" t="s">
        <v>538</v>
      </c>
      <c r="D564" s="191">
        <v>31</v>
      </c>
      <c r="E564" s="191">
        <v>2007</v>
      </c>
      <c r="F564" s="348">
        <v>35.672</v>
      </c>
      <c r="G564" s="348">
        <v>0.7905</v>
      </c>
      <c r="H564" s="348">
        <v>3.6</v>
      </c>
      <c r="I564" s="348">
        <v>31.2815</v>
      </c>
      <c r="J564" s="350">
        <v>2889.73</v>
      </c>
      <c r="K564" s="808">
        <v>30.03</v>
      </c>
      <c r="L564" s="350">
        <v>2478.67</v>
      </c>
      <c r="M564" s="143">
        <f t="shared" si="95"/>
        <v>0.012115368322527808</v>
      </c>
      <c r="N564" s="190">
        <v>326.019</v>
      </c>
      <c r="O564" s="437">
        <f t="shared" si="96"/>
        <v>3.9498402651421936</v>
      </c>
      <c r="P564" s="173">
        <f t="shared" si="97"/>
        <v>726.9220993516685</v>
      </c>
      <c r="Q564" s="145">
        <f t="shared" si="98"/>
        <v>236.99041590853165</v>
      </c>
      <c r="S564" s="80"/>
      <c r="T564" s="80"/>
    </row>
    <row r="565" spans="1:20" ht="12.75">
      <c r="A565" s="1032"/>
      <c r="B565" s="31">
        <v>3</v>
      </c>
      <c r="C565" s="241" t="s">
        <v>539</v>
      </c>
      <c r="D565" s="191">
        <v>20</v>
      </c>
      <c r="E565" s="191">
        <v>1975</v>
      </c>
      <c r="F565" s="348">
        <v>20.41</v>
      </c>
      <c r="G565" s="348">
        <v>2.2185</v>
      </c>
      <c r="H565" s="348">
        <v>3.2</v>
      </c>
      <c r="I565" s="348">
        <v>14.9915</v>
      </c>
      <c r="J565" s="350">
        <v>1147.92</v>
      </c>
      <c r="K565" s="808">
        <v>14.99</v>
      </c>
      <c r="L565" s="350">
        <v>1147.92</v>
      </c>
      <c r="M565" s="143">
        <f t="shared" si="95"/>
        <v>0.013058401282319325</v>
      </c>
      <c r="N565" s="190">
        <v>326.019</v>
      </c>
      <c r="O565" s="437">
        <f t="shared" si="96"/>
        <v>4.257286927660464</v>
      </c>
      <c r="P565" s="173">
        <f t="shared" si="97"/>
        <v>783.5040769391595</v>
      </c>
      <c r="Q565" s="145">
        <f t="shared" si="98"/>
        <v>255.43721565962787</v>
      </c>
      <c r="S565" s="80"/>
      <c r="T565" s="80"/>
    </row>
    <row r="566" spans="1:20" ht="12.75">
      <c r="A566" s="1032"/>
      <c r="B566" s="31">
        <v>4</v>
      </c>
      <c r="C566" s="241" t="s">
        <v>540</v>
      </c>
      <c r="D566" s="191">
        <v>30</v>
      </c>
      <c r="E566" s="191">
        <v>2007</v>
      </c>
      <c r="F566" s="348">
        <v>43.076</v>
      </c>
      <c r="G566" s="348">
        <v>3.001758</v>
      </c>
      <c r="H566" s="348">
        <v>4</v>
      </c>
      <c r="I566" s="348">
        <v>36.074242</v>
      </c>
      <c r="J566" s="350">
        <v>2842.76</v>
      </c>
      <c r="K566" s="808">
        <v>35.41</v>
      </c>
      <c r="L566" s="350">
        <v>2656.97</v>
      </c>
      <c r="M566" s="143">
        <f t="shared" si="95"/>
        <v>0.013327211071257861</v>
      </c>
      <c r="N566" s="190">
        <v>330.488</v>
      </c>
      <c r="O566" s="437">
        <f t="shared" si="96"/>
        <v>4.404483332517868</v>
      </c>
      <c r="P566" s="173">
        <f t="shared" si="97"/>
        <v>799.6326642754716</v>
      </c>
      <c r="Q566" s="145">
        <f t="shared" si="98"/>
        <v>264.26899995107203</v>
      </c>
      <c r="S566" s="80"/>
      <c r="T566" s="80"/>
    </row>
    <row r="567" spans="1:20" ht="12.75">
      <c r="A567" s="1032"/>
      <c r="B567" s="31">
        <v>5</v>
      </c>
      <c r="C567" s="241" t="s">
        <v>541</v>
      </c>
      <c r="D567" s="191">
        <v>20</v>
      </c>
      <c r="E567" s="191">
        <v>1975</v>
      </c>
      <c r="F567" s="348">
        <v>20.587</v>
      </c>
      <c r="G567" s="348">
        <v>1.785</v>
      </c>
      <c r="H567" s="348">
        <v>3.2</v>
      </c>
      <c r="I567" s="348">
        <v>15.602</v>
      </c>
      <c r="J567" s="350">
        <v>1127.03</v>
      </c>
      <c r="K567" s="808">
        <v>15.6</v>
      </c>
      <c r="L567" s="350">
        <v>1127.03</v>
      </c>
      <c r="M567" s="143">
        <f t="shared" si="95"/>
        <v>0.013841690105853437</v>
      </c>
      <c r="N567" s="190">
        <v>326.019</v>
      </c>
      <c r="O567" s="437">
        <f t="shared" si="96"/>
        <v>4.512653966620232</v>
      </c>
      <c r="P567" s="173">
        <f t="shared" si="97"/>
        <v>830.5014063512062</v>
      </c>
      <c r="Q567" s="145">
        <f t="shared" si="98"/>
        <v>270.7592379972139</v>
      </c>
      <c r="S567" s="80"/>
      <c r="T567" s="80"/>
    </row>
    <row r="568" spans="1:20" ht="12.75">
      <c r="A568" s="1032"/>
      <c r="B568" s="31">
        <v>6</v>
      </c>
      <c r="C568" s="241" t="s">
        <v>542</v>
      </c>
      <c r="D568" s="191">
        <v>12</v>
      </c>
      <c r="E568" s="191">
        <v>2007</v>
      </c>
      <c r="F568" s="348">
        <v>13.595</v>
      </c>
      <c r="G568" s="348">
        <v>0.408</v>
      </c>
      <c r="H568" s="348" t="s">
        <v>543</v>
      </c>
      <c r="I568" s="348">
        <v>13.187</v>
      </c>
      <c r="J568" s="350">
        <v>1168.64</v>
      </c>
      <c r="K568" s="808">
        <v>12.19</v>
      </c>
      <c r="L568" s="350">
        <v>833</v>
      </c>
      <c r="M568" s="143">
        <f t="shared" si="95"/>
        <v>0.014633853541416567</v>
      </c>
      <c r="N568" s="190">
        <v>326.019</v>
      </c>
      <c r="O568" s="437">
        <f t="shared" si="96"/>
        <v>4.770914297719088</v>
      </c>
      <c r="P568" s="173">
        <f t="shared" si="97"/>
        <v>878.0312124849941</v>
      </c>
      <c r="Q568" s="145">
        <f t="shared" si="98"/>
        <v>286.2548578631453</v>
      </c>
      <c r="S568" s="80"/>
      <c r="T568" s="80"/>
    </row>
    <row r="569" spans="1:20" ht="12.75">
      <c r="A569" s="1032"/>
      <c r="B569" s="31">
        <v>7</v>
      </c>
      <c r="C569" s="241" t="s">
        <v>544</v>
      </c>
      <c r="D569" s="191">
        <v>39</v>
      </c>
      <c r="E569" s="191">
        <v>2007</v>
      </c>
      <c r="F569" s="348">
        <v>42.127</v>
      </c>
      <c r="G569" s="348">
        <v>2.295</v>
      </c>
      <c r="H569" s="348" t="s">
        <v>543</v>
      </c>
      <c r="I569" s="348">
        <v>39.832</v>
      </c>
      <c r="J569" s="350">
        <v>2880.53</v>
      </c>
      <c r="K569" s="808">
        <v>36.17</v>
      </c>
      <c r="L569" s="350">
        <v>2457.47</v>
      </c>
      <c r="M569" s="143">
        <f t="shared" si="95"/>
        <v>0.014718389237711958</v>
      </c>
      <c r="N569" s="190">
        <v>326.019</v>
      </c>
      <c r="O569" s="437">
        <f t="shared" si="96"/>
        <v>4.798474540889615</v>
      </c>
      <c r="P569" s="173">
        <f t="shared" si="97"/>
        <v>883.1033542627175</v>
      </c>
      <c r="Q569" s="145">
        <f t="shared" si="98"/>
        <v>287.90847245337693</v>
      </c>
      <c r="S569" s="80"/>
      <c r="T569" s="80"/>
    </row>
    <row r="570" spans="1:20" ht="12.75">
      <c r="A570" s="1032"/>
      <c r="B570" s="31">
        <v>8</v>
      </c>
      <c r="C570" s="241" t="s">
        <v>545</v>
      </c>
      <c r="D570" s="191">
        <v>83</v>
      </c>
      <c r="E570" s="191">
        <v>2007</v>
      </c>
      <c r="F570" s="348">
        <v>116.675</v>
      </c>
      <c r="G570" s="348">
        <v>8.109</v>
      </c>
      <c r="H570" s="348">
        <v>4.5307</v>
      </c>
      <c r="I570" s="348">
        <v>104.0353</v>
      </c>
      <c r="J570" s="350">
        <v>6753.16</v>
      </c>
      <c r="K570" s="808">
        <v>83.41</v>
      </c>
      <c r="L570" s="350">
        <v>5522.42</v>
      </c>
      <c r="M570" s="143">
        <f t="shared" si="95"/>
        <v>0.015103885615364278</v>
      </c>
      <c r="N570" s="190">
        <v>330.488</v>
      </c>
      <c r="O570" s="437">
        <f t="shared" si="96"/>
        <v>4.9916529492505095</v>
      </c>
      <c r="P570" s="173">
        <f t="shared" si="97"/>
        <v>906.2331369218567</v>
      </c>
      <c r="Q570" s="145">
        <f t="shared" si="98"/>
        <v>299.4991769550306</v>
      </c>
      <c r="S570" s="80"/>
      <c r="T570" s="80"/>
    </row>
    <row r="571" spans="1:20" ht="12.75">
      <c r="A571" s="1032"/>
      <c r="B571" s="31">
        <v>9</v>
      </c>
      <c r="C571" s="241" t="s">
        <v>546</v>
      </c>
      <c r="D571" s="191">
        <v>44</v>
      </c>
      <c r="E571" s="191">
        <v>2008</v>
      </c>
      <c r="F571" s="348">
        <v>61.278</v>
      </c>
      <c r="G571" s="348">
        <v>2.907</v>
      </c>
      <c r="H571" s="348">
        <v>4.56</v>
      </c>
      <c r="I571" s="348">
        <v>53.811</v>
      </c>
      <c r="J571" s="350">
        <v>3663.85</v>
      </c>
      <c r="K571" s="808">
        <v>45.91</v>
      </c>
      <c r="L571" s="350">
        <v>3020.52</v>
      </c>
      <c r="M571" s="143">
        <f t="shared" si="95"/>
        <v>0.015199369644961793</v>
      </c>
      <c r="N571" s="190">
        <v>330.488</v>
      </c>
      <c r="O571" s="437">
        <f t="shared" si="96"/>
        <v>5.023209275224133</v>
      </c>
      <c r="P571" s="173">
        <f t="shared" si="97"/>
        <v>911.9621786977076</v>
      </c>
      <c r="Q571" s="145">
        <f t="shared" si="98"/>
        <v>301.392556513448</v>
      </c>
      <c r="S571" s="80"/>
      <c r="T571" s="80"/>
    </row>
    <row r="572" spans="1:20" ht="13.5" thickBot="1">
      <c r="A572" s="1033"/>
      <c r="B572" s="57">
        <v>10</v>
      </c>
      <c r="C572" s="563" t="s">
        <v>547</v>
      </c>
      <c r="D572" s="221">
        <v>40</v>
      </c>
      <c r="E572" s="221">
        <v>1982</v>
      </c>
      <c r="F572" s="349">
        <v>46.859</v>
      </c>
      <c r="G572" s="349">
        <v>4.65069</v>
      </c>
      <c r="H572" s="349">
        <v>6.24</v>
      </c>
      <c r="I572" s="349">
        <v>35.96831</v>
      </c>
      <c r="J572" s="479">
        <v>2255.05</v>
      </c>
      <c r="K572" s="815">
        <v>35.97</v>
      </c>
      <c r="L572" s="479">
        <v>2255.05</v>
      </c>
      <c r="M572" s="357">
        <f t="shared" si="95"/>
        <v>0.015950865834460433</v>
      </c>
      <c r="N572" s="343">
        <v>326.019</v>
      </c>
      <c r="O572" s="503">
        <f t="shared" si="96"/>
        <v>5.200285328484956</v>
      </c>
      <c r="P572" s="344">
        <f t="shared" si="97"/>
        <v>957.051950067626</v>
      </c>
      <c r="Q572" s="345">
        <f t="shared" si="98"/>
        <v>312.01711970909736</v>
      </c>
      <c r="S572" s="80"/>
      <c r="T572" s="80"/>
    </row>
    <row r="573" spans="1:20" ht="11.25" customHeight="1">
      <c r="A573" s="943" t="s">
        <v>29</v>
      </c>
      <c r="B573" s="60">
        <v>1</v>
      </c>
      <c r="C573" s="174" t="s">
        <v>545</v>
      </c>
      <c r="D573" s="140">
        <v>39</v>
      </c>
      <c r="E573" s="140">
        <v>2007</v>
      </c>
      <c r="F573" s="473">
        <v>78.483</v>
      </c>
      <c r="G573" s="473">
        <v>4.896</v>
      </c>
      <c r="H573" s="473">
        <v>1.967</v>
      </c>
      <c r="I573" s="183">
        <v>71.62</v>
      </c>
      <c r="J573" s="480">
        <v>4060.39</v>
      </c>
      <c r="K573" s="816">
        <v>45.11</v>
      </c>
      <c r="L573" s="480">
        <v>2786.45</v>
      </c>
      <c r="M573" s="504">
        <f t="shared" si="95"/>
        <v>0.016189057761668072</v>
      </c>
      <c r="N573" s="505">
        <v>330.488</v>
      </c>
      <c r="O573" s="506">
        <f t="shared" si="96"/>
        <v>5.350289321538158</v>
      </c>
      <c r="P573" s="506">
        <f t="shared" si="97"/>
        <v>971.3434657000844</v>
      </c>
      <c r="Q573" s="507">
        <f t="shared" si="98"/>
        <v>321.0173592922895</v>
      </c>
      <c r="S573" s="80"/>
      <c r="T573" s="80"/>
    </row>
    <row r="574" spans="1:20" ht="12.75" customHeight="1">
      <c r="A574" s="944"/>
      <c r="B574" s="35">
        <v>2</v>
      </c>
      <c r="C574" s="174" t="s">
        <v>548</v>
      </c>
      <c r="D574" s="140">
        <v>19</v>
      </c>
      <c r="E574" s="140">
        <v>1996</v>
      </c>
      <c r="F574" s="183">
        <v>28.818</v>
      </c>
      <c r="G574" s="183">
        <v>3.154452</v>
      </c>
      <c r="H574" s="183">
        <v>3.04</v>
      </c>
      <c r="I574" s="183">
        <v>22.6235</v>
      </c>
      <c r="J574" s="351">
        <v>1389.83</v>
      </c>
      <c r="K574" s="809">
        <v>22.62</v>
      </c>
      <c r="L574" s="351">
        <v>1389.83</v>
      </c>
      <c r="M574" s="504">
        <f t="shared" si="95"/>
        <v>0.016275371808062856</v>
      </c>
      <c r="N574" s="505">
        <v>330.488</v>
      </c>
      <c r="O574" s="506">
        <f t="shared" si="96"/>
        <v>5.378815078103077</v>
      </c>
      <c r="P574" s="506">
        <f t="shared" si="97"/>
        <v>976.5223084837714</v>
      </c>
      <c r="Q574" s="507">
        <f t="shared" si="98"/>
        <v>322.72890468618465</v>
      </c>
      <c r="S574" s="80"/>
      <c r="T574" s="80"/>
    </row>
    <row r="575" spans="1:20" ht="12.75" customHeight="1">
      <c r="A575" s="944"/>
      <c r="B575" s="35">
        <v>3</v>
      </c>
      <c r="C575" s="174" t="s">
        <v>549</v>
      </c>
      <c r="D575" s="140">
        <v>50</v>
      </c>
      <c r="E575" s="140">
        <v>1970</v>
      </c>
      <c r="F575" s="183">
        <v>55.517</v>
      </c>
      <c r="G575" s="183">
        <v>5.559</v>
      </c>
      <c r="H575" s="183">
        <v>8</v>
      </c>
      <c r="I575" s="183">
        <v>41.958</v>
      </c>
      <c r="J575" s="351">
        <v>2565.91</v>
      </c>
      <c r="K575" s="809">
        <v>41.96</v>
      </c>
      <c r="L575" s="351">
        <v>2565.91</v>
      </c>
      <c r="M575" s="146">
        <f t="shared" si="95"/>
        <v>0.01635287285992104</v>
      </c>
      <c r="N575" s="505">
        <v>330.488</v>
      </c>
      <c r="O575" s="506">
        <f t="shared" si="96"/>
        <v>5.404428245729585</v>
      </c>
      <c r="P575" s="506">
        <f t="shared" si="97"/>
        <v>981.1723715952625</v>
      </c>
      <c r="Q575" s="149">
        <f t="shared" si="98"/>
        <v>324.2656947437751</v>
      </c>
      <c r="S575" s="80"/>
      <c r="T575" s="80"/>
    </row>
    <row r="576" spans="1:20" ht="12.75" customHeight="1">
      <c r="A576" s="944"/>
      <c r="B576" s="35">
        <v>4</v>
      </c>
      <c r="C576" s="174" t="s">
        <v>550</v>
      </c>
      <c r="D576" s="140">
        <v>50</v>
      </c>
      <c r="E576" s="140">
        <v>1971</v>
      </c>
      <c r="F576" s="183">
        <v>54.82</v>
      </c>
      <c r="G576" s="183">
        <v>4.08</v>
      </c>
      <c r="H576" s="183">
        <v>8</v>
      </c>
      <c r="I576" s="183">
        <v>42.74</v>
      </c>
      <c r="J576" s="351">
        <v>2592.75</v>
      </c>
      <c r="K576" s="809">
        <v>42.74</v>
      </c>
      <c r="L576" s="351">
        <v>2592.75</v>
      </c>
      <c r="M576" s="146">
        <f t="shared" si="95"/>
        <v>0.016484427731173465</v>
      </c>
      <c r="N576" s="505">
        <v>324.057</v>
      </c>
      <c r="O576" s="148">
        <f t="shared" si="96"/>
        <v>5.3418941972808796</v>
      </c>
      <c r="P576" s="506">
        <f t="shared" si="97"/>
        <v>989.0656638704079</v>
      </c>
      <c r="Q576" s="149">
        <f t="shared" si="98"/>
        <v>320.5136518368528</v>
      </c>
      <c r="S576" s="80"/>
      <c r="T576" s="80"/>
    </row>
    <row r="577" spans="1:20" ht="12.75" customHeight="1">
      <c r="A577" s="944"/>
      <c r="B577" s="35">
        <v>5</v>
      </c>
      <c r="C577" s="174" t="s">
        <v>551</v>
      </c>
      <c r="D577" s="140">
        <v>18</v>
      </c>
      <c r="E577" s="140">
        <v>1993</v>
      </c>
      <c r="F577" s="183">
        <v>29.102</v>
      </c>
      <c r="G577" s="183">
        <v>2.95647</v>
      </c>
      <c r="H577" s="183">
        <v>3.04</v>
      </c>
      <c r="I577" s="183">
        <v>23.1055</v>
      </c>
      <c r="J577" s="351">
        <v>1391.13</v>
      </c>
      <c r="K577" s="809">
        <v>23.11</v>
      </c>
      <c r="L577" s="351">
        <v>1391.13</v>
      </c>
      <c r="M577" s="146">
        <f t="shared" si="95"/>
        <v>0.01661239424065328</v>
      </c>
      <c r="N577" s="505">
        <v>330.488</v>
      </c>
      <c r="O577" s="148">
        <f t="shared" si="96"/>
        <v>5.490196947805021</v>
      </c>
      <c r="P577" s="506">
        <f t="shared" si="97"/>
        <v>996.7436544391969</v>
      </c>
      <c r="Q577" s="149">
        <f t="shared" si="98"/>
        <v>329.4118168683013</v>
      </c>
      <c r="S577" s="80"/>
      <c r="T577" s="80"/>
    </row>
    <row r="578" spans="1:20" ht="12.75" customHeight="1">
      <c r="A578" s="944"/>
      <c r="B578" s="35">
        <v>6</v>
      </c>
      <c r="C578" s="174" t="s">
        <v>552</v>
      </c>
      <c r="D578" s="140">
        <v>50</v>
      </c>
      <c r="E578" s="140">
        <v>1970</v>
      </c>
      <c r="F578" s="183">
        <v>58.797</v>
      </c>
      <c r="G578" s="183">
        <v>5.508</v>
      </c>
      <c r="H578" s="183">
        <v>8</v>
      </c>
      <c r="I578" s="183">
        <v>45.289</v>
      </c>
      <c r="J578" s="351">
        <v>2665.28</v>
      </c>
      <c r="K578" s="809">
        <v>45.29</v>
      </c>
      <c r="L578" s="351">
        <v>2665.28</v>
      </c>
      <c r="M578" s="146">
        <f t="shared" si="95"/>
        <v>0.01699258614479529</v>
      </c>
      <c r="N578" s="505">
        <v>330.488</v>
      </c>
      <c r="O578" s="148">
        <f t="shared" si="96"/>
        <v>5.615845809821106</v>
      </c>
      <c r="P578" s="506">
        <f t="shared" si="97"/>
        <v>1019.5551686877176</v>
      </c>
      <c r="Q578" s="149">
        <f t="shared" si="98"/>
        <v>336.95074858926637</v>
      </c>
      <c r="S578" s="80"/>
      <c r="T578" s="80"/>
    </row>
    <row r="579" spans="1:20" ht="12.75" customHeight="1">
      <c r="A579" s="944"/>
      <c r="B579" s="35">
        <v>7</v>
      </c>
      <c r="C579" s="174" t="s">
        <v>553</v>
      </c>
      <c r="D579" s="140">
        <v>50</v>
      </c>
      <c r="E579" s="140">
        <v>1972</v>
      </c>
      <c r="F579" s="183">
        <v>43.1</v>
      </c>
      <c r="G579" s="183">
        <v>5.457</v>
      </c>
      <c r="H579" s="183">
        <v>0.5</v>
      </c>
      <c r="I579" s="183">
        <v>37.143</v>
      </c>
      <c r="J579" s="351">
        <v>2114.27</v>
      </c>
      <c r="K579" s="809">
        <v>37.14</v>
      </c>
      <c r="L579" s="351">
        <v>2114.27</v>
      </c>
      <c r="M579" s="146">
        <f t="shared" si="95"/>
        <v>0.01756634677690172</v>
      </c>
      <c r="N579" s="505">
        <v>330.488</v>
      </c>
      <c r="O579" s="148">
        <f t="shared" si="96"/>
        <v>5.805466813604696</v>
      </c>
      <c r="P579" s="506">
        <f t="shared" si="97"/>
        <v>1053.9808066141031</v>
      </c>
      <c r="Q579" s="149">
        <f t="shared" si="98"/>
        <v>348.32800881628174</v>
      </c>
      <c r="S579" s="80"/>
      <c r="T579" s="80"/>
    </row>
    <row r="580" spans="1:20" ht="12.75" customHeight="1">
      <c r="A580" s="944"/>
      <c r="B580" s="35">
        <v>8</v>
      </c>
      <c r="C580" s="174" t="s">
        <v>554</v>
      </c>
      <c r="D580" s="140">
        <v>50</v>
      </c>
      <c r="E580" s="140">
        <v>1971</v>
      </c>
      <c r="F580" s="183">
        <v>59.883</v>
      </c>
      <c r="G580" s="183">
        <v>4.8909</v>
      </c>
      <c r="H580" s="183">
        <v>8</v>
      </c>
      <c r="I580" s="183">
        <v>46.9921</v>
      </c>
      <c r="J580" s="351">
        <v>2632.39</v>
      </c>
      <c r="K580" s="809">
        <v>46.99</v>
      </c>
      <c r="L580" s="351">
        <v>2632.39</v>
      </c>
      <c r="M580" s="146">
        <f t="shared" si="95"/>
        <v>0.017850698414748577</v>
      </c>
      <c r="N580" s="505">
        <v>326.019</v>
      </c>
      <c r="O580" s="148">
        <f t="shared" si="96"/>
        <v>5.819666846477917</v>
      </c>
      <c r="P580" s="506">
        <f t="shared" si="97"/>
        <v>1071.0419048849146</v>
      </c>
      <c r="Q580" s="149">
        <f t="shared" si="98"/>
        <v>349.18001078867496</v>
      </c>
      <c r="S580" s="80"/>
      <c r="T580" s="80"/>
    </row>
    <row r="581" spans="1:20" ht="13.5" customHeight="1">
      <c r="A581" s="944"/>
      <c r="B581" s="35">
        <v>9</v>
      </c>
      <c r="C581" s="174" t="s">
        <v>555</v>
      </c>
      <c r="D581" s="140">
        <v>40</v>
      </c>
      <c r="E581" s="140">
        <v>1991</v>
      </c>
      <c r="F581" s="183">
        <v>39.627</v>
      </c>
      <c r="G581" s="183" t="s">
        <v>543</v>
      </c>
      <c r="H581" s="183" t="s">
        <v>543</v>
      </c>
      <c r="I581" s="183">
        <v>39.627</v>
      </c>
      <c r="J581" s="351">
        <v>2212.42</v>
      </c>
      <c r="K581" s="809">
        <v>39.63</v>
      </c>
      <c r="L581" s="351">
        <v>2212.42</v>
      </c>
      <c r="M581" s="146">
        <f t="shared" si="95"/>
        <v>0.017912512090832663</v>
      </c>
      <c r="N581" s="505">
        <v>326.019</v>
      </c>
      <c r="O581" s="148">
        <f t="shared" si="96"/>
        <v>5.839819279341174</v>
      </c>
      <c r="P581" s="506">
        <f t="shared" si="97"/>
        <v>1074.7507254499596</v>
      </c>
      <c r="Q581" s="149">
        <f t="shared" si="98"/>
        <v>350.3891567604704</v>
      </c>
      <c r="S581" s="80"/>
      <c r="T581" s="80"/>
    </row>
    <row r="582" spans="1:20" ht="13.5" customHeight="1" thickBot="1">
      <c r="A582" s="945"/>
      <c r="B582" s="83"/>
      <c r="C582" s="174" t="s">
        <v>556</v>
      </c>
      <c r="D582" s="140">
        <v>55</v>
      </c>
      <c r="E582" s="140">
        <v>1968</v>
      </c>
      <c r="F582" s="183">
        <v>59.616</v>
      </c>
      <c r="G582" s="183">
        <v>4.794</v>
      </c>
      <c r="H582" s="183">
        <v>8.8</v>
      </c>
      <c r="I582" s="183">
        <v>46.022</v>
      </c>
      <c r="J582" s="351">
        <v>2555.52</v>
      </c>
      <c r="K582" s="809">
        <v>46.02</v>
      </c>
      <c r="L582" s="873">
        <v>2555.52</v>
      </c>
      <c r="M582" s="178">
        <f t="shared" si="95"/>
        <v>0.018008076634109693</v>
      </c>
      <c r="N582" s="185">
        <v>330.488</v>
      </c>
      <c r="O582" s="179">
        <f t="shared" si="96"/>
        <v>5.9514532306536445</v>
      </c>
      <c r="P582" s="179">
        <f t="shared" si="97"/>
        <v>1080.4845980465816</v>
      </c>
      <c r="Q582" s="180">
        <f t="shared" si="98"/>
        <v>357.0871938392186</v>
      </c>
      <c r="S582" s="80"/>
      <c r="T582" s="80"/>
    </row>
    <row r="583" spans="1:20" ht="12.75">
      <c r="A583" s="953" t="s">
        <v>47</v>
      </c>
      <c r="B583" s="262">
        <v>1</v>
      </c>
      <c r="C583" s="229" t="s">
        <v>557</v>
      </c>
      <c r="D583" s="223">
        <v>17</v>
      </c>
      <c r="E583" s="223">
        <v>1976</v>
      </c>
      <c r="F583" s="512">
        <v>22.537</v>
      </c>
      <c r="G583" s="512" t="s">
        <v>543</v>
      </c>
      <c r="H583" s="512" t="s">
        <v>543</v>
      </c>
      <c r="I583" s="512">
        <v>22.537</v>
      </c>
      <c r="J583" s="514">
        <v>658.78</v>
      </c>
      <c r="K583" s="825">
        <v>22.54</v>
      </c>
      <c r="L583" s="514">
        <v>658.78</v>
      </c>
      <c r="M583" s="456">
        <f t="shared" si="95"/>
        <v>0.03421476061811227</v>
      </c>
      <c r="N583" s="457">
        <v>326.019</v>
      </c>
      <c r="O583" s="458">
        <f t="shared" si="96"/>
        <v>11.154662041956342</v>
      </c>
      <c r="P583" s="458">
        <f t="shared" si="97"/>
        <v>2052.885637086736</v>
      </c>
      <c r="Q583" s="459">
        <f t="shared" si="98"/>
        <v>669.2797225173806</v>
      </c>
      <c r="S583" s="80"/>
      <c r="T583" s="80"/>
    </row>
    <row r="584" spans="1:20" ht="12.75">
      <c r="A584" s="939"/>
      <c r="B584" s="219">
        <v>2</v>
      </c>
      <c r="C584" s="230" t="s">
        <v>558</v>
      </c>
      <c r="D584" s="220">
        <v>10</v>
      </c>
      <c r="E584" s="220">
        <v>1958</v>
      </c>
      <c r="F584" s="439">
        <v>15.0845</v>
      </c>
      <c r="G584" s="439" t="s">
        <v>543</v>
      </c>
      <c r="H584" s="439" t="s">
        <v>543</v>
      </c>
      <c r="I584" s="439">
        <v>15.0845</v>
      </c>
      <c r="J584" s="441">
        <v>439.06</v>
      </c>
      <c r="K584" s="810">
        <v>15.08</v>
      </c>
      <c r="L584" s="441">
        <v>439.06</v>
      </c>
      <c r="M584" s="358">
        <f t="shared" si="95"/>
        <v>0.034346103038309116</v>
      </c>
      <c r="N584" s="457">
        <v>326.019</v>
      </c>
      <c r="O584" s="347">
        <f t="shared" si="96"/>
        <v>11.1974821664465</v>
      </c>
      <c r="P584" s="458">
        <f t="shared" si="97"/>
        <v>2060.766182298547</v>
      </c>
      <c r="Q584" s="460">
        <f t="shared" si="98"/>
        <v>671.8489299867899</v>
      </c>
      <c r="S584" s="80"/>
      <c r="T584" s="80"/>
    </row>
    <row r="585" spans="1:20" ht="12.75">
      <c r="A585" s="939"/>
      <c r="B585" s="219">
        <v>3</v>
      </c>
      <c r="C585" s="230" t="s">
        <v>559</v>
      </c>
      <c r="D585" s="220">
        <v>8</v>
      </c>
      <c r="E585" s="220">
        <v>1968</v>
      </c>
      <c r="F585" s="439">
        <v>24.122</v>
      </c>
      <c r="G585" s="439">
        <v>1.173</v>
      </c>
      <c r="H585" s="439">
        <v>1.28</v>
      </c>
      <c r="I585" s="439">
        <v>21.669</v>
      </c>
      <c r="J585" s="441">
        <v>627.78</v>
      </c>
      <c r="K585" s="810">
        <v>21.67</v>
      </c>
      <c r="L585" s="441">
        <v>627.78</v>
      </c>
      <c r="M585" s="358">
        <f t="shared" si="95"/>
        <v>0.03451846188155087</v>
      </c>
      <c r="N585" s="457">
        <v>326.019</v>
      </c>
      <c r="O585" s="347">
        <f t="shared" si="96"/>
        <v>11.253674424161332</v>
      </c>
      <c r="P585" s="458">
        <f t="shared" si="97"/>
        <v>2071.1077128930524</v>
      </c>
      <c r="Q585" s="460">
        <f t="shared" si="98"/>
        <v>675.2204654496801</v>
      </c>
      <c r="S585" s="80"/>
      <c r="T585" s="80"/>
    </row>
    <row r="586" spans="1:20" ht="12.75">
      <c r="A586" s="939"/>
      <c r="B586" s="219">
        <v>4</v>
      </c>
      <c r="C586" s="230" t="s">
        <v>560</v>
      </c>
      <c r="D586" s="220">
        <v>7</v>
      </c>
      <c r="E586" s="220">
        <v>1985</v>
      </c>
      <c r="F586" s="439">
        <v>9.498</v>
      </c>
      <c r="G586" s="439" t="s">
        <v>543</v>
      </c>
      <c r="H586" s="439" t="s">
        <v>543</v>
      </c>
      <c r="I586" s="439">
        <v>9.498</v>
      </c>
      <c r="J586" s="441">
        <v>273.15</v>
      </c>
      <c r="K586" s="810">
        <v>9.5</v>
      </c>
      <c r="L586" s="441">
        <v>273.15</v>
      </c>
      <c r="M586" s="358">
        <f t="shared" si="95"/>
        <v>0.03477942522423577</v>
      </c>
      <c r="N586" s="457">
        <v>326.019</v>
      </c>
      <c r="O586" s="347">
        <f t="shared" si="96"/>
        <v>11.338753432180122</v>
      </c>
      <c r="P586" s="458">
        <f t="shared" si="97"/>
        <v>2086.7655134541465</v>
      </c>
      <c r="Q586" s="460">
        <f t="shared" si="98"/>
        <v>680.3252059308074</v>
      </c>
      <c r="S586" s="80"/>
      <c r="T586" s="80"/>
    </row>
    <row r="587" spans="1:20" ht="12.75">
      <c r="A587" s="939"/>
      <c r="B587" s="219">
        <v>5</v>
      </c>
      <c r="C587" s="230" t="s">
        <v>561</v>
      </c>
      <c r="D587" s="220">
        <v>12</v>
      </c>
      <c r="E587" s="220">
        <v>1960</v>
      </c>
      <c r="F587" s="439">
        <v>20.821</v>
      </c>
      <c r="G587" s="439">
        <v>0.204</v>
      </c>
      <c r="H587" s="439">
        <v>1.92</v>
      </c>
      <c r="I587" s="439">
        <v>18.697</v>
      </c>
      <c r="J587" s="441">
        <v>532.26</v>
      </c>
      <c r="K587" s="810">
        <v>18.7</v>
      </c>
      <c r="L587" s="441">
        <v>532.26</v>
      </c>
      <c r="M587" s="358">
        <f t="shared" si="95"/>
        <v>0.03513320557622215</v>
      </c>
      <c r="N587" s="457">
        <v>326.019</v>
      </c>
      <c r="O587" s="347">
        <f t="shared" si="96"/>
        <v>11.45409254875437</v>
      </c>
      <c r="P587" s="458">
        <f t="shared" si="97"/>
        <v>2107.992334573329</v>
      </c>
      <c r="Q587" s="460">
        <f t="shared" si="98"/>
        <v>687.2455529252622</v>
      </c>
      <c r="S587" s="80"/>
      <c r="T587" s="80"/>
    </row>
    <row r="588" spans="1:20" ht="12.75">
      <c r="A588" s="939"/>
      <c r="B588" s="219">
        <v>6</v>
      </c>
      <c r="C588" s="230" t="s">
        <v>562</v>
      </c>
      <c r="D588" s="220">
        <v>29</v>
      </c>
      <c r="E588" s="220">
        <v>1977</v>
      </c>
      <c r="F588" s="439">
        <v>47.48</v>
      </c>
      <c r="G588" s="439">
        <v>2.142</v>
      </c>
      <c r="H588" s="439">
        <v>4.64</v>
      </c>
      <c r="I588" s="439">
        <v>40.698</v>
      </c>
      <c r="J588" s="441">
        <v>1154.83</v>
      </c>
      <c r="K588" s="810">
        <v>40.7</v>
      </c>
      <c r="L588" s="441">
        <v>1154.83</v>
      </c>
      <c r="M588" s="358">
        <f t="shared" si="95"/>
        <v>0.0352432825610696</v>
      </c>
      <c r="N588" s="457">
        <v>326.019</v>
      </c>
      <c r="O588" s="347">
        <f t="shared" si="96"/>
        <v>11.48997973727735</v>
      </c>
      <c r="P588" s="458">
        <f t="shared" si="97"/>
        <v>2114.596953664176</v>
      </c>
      <c r="Q588" s="460">
        <f t="shared" si="98"/>
        <v>689.3987842366411</v>
      </c>
      <c r="S588" s="80"/>
      <c r="T588" s="80"/>
    </row>
    <row r="589" spans="1:20" ht="12.75">
      <c r="A589" s="939"/>
      <c r="B589" s="219">
        <v>7</v>
      </c>
      <c r="C589" s="230" t="s">
        <v>563</v>
      </c>
      <c r="D589" s="220">
        <v>20</v>
      </c>
      <c r="E589" s="220">
        <v>1980</v>
      </c>
      <c r="F589" s="439">
        <v>31.052</v>
      </c>
      <c r="G589" s="439">
        <v>1.377</v>
      </c>
      <c r="H589" s="439">
        <v>3.2</v>
      </c>
      <c r="I589" s="439">
        <v>26.475</v>
      </c>
      <c r="J589" s="441">
        <v>750.77</v>
      </c>
      <c r="K589" s="810">
        <v>23.86</v>
      </c>
      <c r="L589" s="441">
        <v>676.71</v>
      </c>
      <c r="M589" s="358">
        <f t="shared" si="95"/>
        <v>0.03525882578948146</v>
      </c>
      <c r="N589" s="457">
        <v>326.019</v>
      </c>
      <c r="O589" s="347">
        <f t="shared" si="96"/>
        <v>11.495047125060957</v>
      </c>
      <c r="P589" s="458">
        <f t="shared" si="97"/>
        <v>2115.5295473688875</v>
      </c>
      <c r="Q589" s="460">
        <f t="shared" si="98"/>
        <v>689.7028275036573</v>
      </c>
      <c r="S589" s="80"/>
      <c r="T589" s="80"/>
    </row>
    <row r="590" spans="1:20" ht="12.75">
      <c r="A590" s="939"/>
      <c r="B590" s="219">
        <v>8</v>
      </c>
      <c r="C590" s="230" t="s">
        <v>564</v>
      </c>
      <c r="D590" s="220">
        <v>27</v>
      </c>
      <c r="E590" s="220">
        <v>1960</v>
      </c>
      <c r="F590" s="439">
        <v>40.515</v>
      </c>
      <c r="G590" s="439">
        <v>1.79265</v>
      </c>
      <c r="H590" s="439">
        <v>3.27</v>
      </c>
      <c r="I590" s="439">
        <v>35.45235</v>
      </c>
      <c r="J590" s="441">
        <v>1144.99</v>
      </c>
      <c r="K590" s="810">
        <v>35.45</v>
      </c>
      <c r="L590" s="441">
        <v>1004.2</v>
      </c>
      <c r="M590" s="358">
        <f t="shared" si="95"/>
        <v>0.035301732722565225</v>
      </c>
      <c r="N590" s="457">
        <v>326.019</v>
      </c>
      <c r="O590" s="347">
        <f t="shared" si="96"/>
        <v>11.509035600477992</v>
      </c>
      <c r="P590" s="458">
        <f t="shared" si="97"/>
        <v>2118.1039633539135</v>
      </c>
      <c r="Q590" s="460">
        <f t="shared" si="98"/>
        <v>690.5421360286796</v>
      </c>
      <c r="S590" s="80"/>
      <c r="T590" s="80"/>
    </row>
    <row r="591" spans="1:20" ht="12.75">
      <c r="A591" s="940"/>
      <c r="B591" s="231">
        <v>9</v>
      </c>
      <c r="C591" s="230" t="s">
        <v>565</v>
      </c>
      <c r="D591" s="220">
        <v>20</v>
      </c>
      <c r="E591" s="220">
        <v>1990</v>
      </c>
      <c r="F591" s="439">
        <v>31.827</v>
      </c>
      <c r="G591" s="439">
        <v>1.5351</v>
      </c>
      <c r="H591" s="439">
        <v>3.21</v>
      </c>
      <c r="I591" s="439">
        <v>27.0819</v>
      </c>
      <c r="J591" s="441">
        <v>766.34</v>
      </c>
      <c r="K591" s="810">
        <v>24.31</v>
      </c>
      <c r="L591" s="441">
        <v>687.87</v>
      </c>
      <c r="M591" s="358">
        <f t="shared" si="95"/>
        <v>0.03534098012705889</v>
      </c>
      <c r="N591" s="457">
        <v>326.019</v>
      </c>
      <c r="O591" s="347">
        <f t="shared" si="96"/>
        <v>11.521831000043614</v>
      </c>
      <c r="P591" s="458">
        <f t="shared" si="97"/>
        <v>2120.4588076235336</v>
      </c>
      <c r="Q591" s="460">
        <f t="shared" si="98"/>
        <v>691.3098600026168</v>
      </c>
      <c r="S591" s="80"/>
      <c r="T591" s="80"/>
    </row>
    <row r="592" spans="1:20" ht="13.5" thickBot="1">
      <c r="A592" s="941"/>
      <c r="B592" s="232">
        <v>10</v>
      </c>
      <c r="C592" s="233" t="s">
        <v>566</v>
      </c>
      <c r="D592" s="224">
        <v>27</v>
      </c>
      <c r="E592" s="224">
        <v>1977</v>
      </c>
      <c r="F592" s="513">
        <v>18.4445</v>
      </c>
      <c r="G592" s="513" t="s">
        <v>543</v>
      </c>
      <c r="H592" s="513" t="s">
        <v>543</v>
      </c>
      <c r="I592" s="513">
        <v>18.4445</v>
      </c>
      <c r="J592" s="515">
        <v>574.25</v>
      </c>
      <c r="K592" s="826">
        <v>16.7</v>
      </c>
      <c r="L592" s="515">
        <v>471.37</v>
      </c>
      <c r="M592" s="508">
        <f t="shared" si="95"/>
        <v>0.03542864416488109</v>
      </c>
      <c r="N592" s="511">
        <v>326.019</v>
      </c>
      <c r="O592" s="509">
        <f t="shared" si="96"/>
        <v>11.550411141990368</v>
      </c>
      <c r="P592" s="509">
        <f t="shared" si="97"/>
        <v>2125.7186498928654</v>
      </c>
      <c r="Q592" s="510">
        <f t="shared" si="98"/>
        <v>693.0246685194221</v>
      </c>
      <c r="S592" s="80"/>
      <c r="T592" s="80"/>
    </row>
    <row r="593" spans="1:20" ht="12.75">
      <c r="A593" s="904" t="s">
        <v>12</v>
      </c>
      <c r="B593" s="73">
        <v>1</v>
      </c>
      <c r="C593" s="594" t="s">
        <v>567</v>
      </c>
      <c r="D593" s="226">
        <v>20</v>
      </c>
      <c r="E593" s="226">
        <v>1978</v>
      </c>
      <c r="F593" s="476">
        <v>30.342</v>
      </c>
      <c r="G593" s="476">
        <v>1.75746</v>
      </c>
      <c r="H593" s="476">
        <v>3.21</v>
      </c>
      <c r="I593" s="476">
        <v>25.37454</v>
      </c>
      <c r="J593" s="483">
        <v>775.71</v>
      </c>
      <c r="K593" s="820">
        <v>24.88</v>
      </c>
      <c r="L593" s="548">
        <v>700.2</v>
      </c>
      <c r="M593" s="823">
        <f t="shared" si="95"/>
        <v>0.035532704941445295</v>
      </c>
      <c r="N593" s="550">
        <v>326.019</v>
      </c>
      <c r="O593" s="551">
        <f t="shared" si="96"/>
        <v>11.584336932305053</v>
      </c>
      <c r="P593" s="551">
        <f t="shared" si="97"/>
        <v>2131.9622964867176</v>
      </c>
      <c r="Q593" s="552">
        <f t="shared" si="98"/>
        <v>695.0602159383031</v>
      </c>
      <c r="S593" s="80"/>
      <c r="T593" s="80"/>
    </row>
    <row r="594" spans="1:20" ht="12.75">
      <c r="A594" s="899"/>
      <c r="B594" s="40">
        <v>2</v>
      </c>
      <c r="C594" s="175" t="s">
        <v>568</v>
      </c>
      <c r="D594" s="176">
        <v>8</v>
      </c>
      <c r="E594" s="176">
        <v>1987</v>
      </c>
      <c r="F594" s="292">
        <v>18.618</v>
      </c>
      <c r="G594" s="292">
        <v>0.9027</v>
      </c>
      <c r="H594" s="292">
        <v>1.28</v>
      </c>
      <c r="I594" s="292">
        <v>16.4353</v>
      </c>
      <c r="J594" s="442">
        <v>462.29</v>
      </c>
      <c r="K594" s="811">
        <v>16.44</v>
      </c>
      <c r="L594" s="442">
        <v>462.29</v>
      </c>
      <c r="M594" s="187">
        <f t="shared" si="95"/>
        <v>0.035562093058469794</v>
      </c>
      <c r="N594" s="550">
        <v>330.488</v>
      </c>
      <c r="O594" s="195">
        <f t="shared" si="96"/>
        <v>11.752845010707565</v>
      </c>
      <c r="P594" s="551">
        <f t="shared" si="97"/>
        <v>2133.725583508188</v>
      </c>
      <c r="Q594" s="194">
        <f t="shared" si="98"/>
        <v>705.170700642454</v>
      </c>
      <c r="S594" s="80"/>
      <c r="T594" s="80"/>
    </row>
    <row r="595" spans="1:20" ht="12.75">
      <c r="A595" s="899"/>
      <c r="B595" s="40">
        <v>3</v>
      </c>
      <c r="C595" s="175" t="s">
        <v>569</v>
      </c>
      <c r="D595" s="176">
        <v>11</v>
      </c>
      <c r="E595" s="176">
        <v>1966</v>
      </c>
      <c r="F595" s="292">
        <v>14.705</v>
      </c>
      <c r="G595" s="292">
        <v>1.375164</v>
      </c>
      <c r="H595" s="292" t="s">
        <v>543</v>
      </c>
      <c r="I595" s="292">
        <v>13.329836</v>
      </c>
      <c r="J595" s="442">
        <v>537.21</v>
      </c>
      <c r="K595" s="811">
        <v>12.45</v>
      </c>
      <c r="L595" s="442">
        <v>340.38</v>
      </c>
      <c r="M595" s="187">
        <f t="shared" si="95"/>
        <v>0.03657676714260532</v>
      </c>
      <c r="N595" s="550">
        <v>326.019</v>
      </c>
      <c r="O595" s="195">
        <f t="shared" si="96"/>
        <v>11.924721047065043</v>
      </c>
      <c r="P595" s="551">
        <f t="shared" si="97"/>
        <v>2194.6060285563194</v>
      </c>
      <c r="Q595" s="194">
        <f t="shared" si="98"/>
        <v>715.4832628239028</v>
      </c>
      <c r="S595" s="80"/>
      <c r="T595" s="80"/>
    </row>
    <row r="596" spans="1:20" ht="12.75">
      <c r="A596" s="899"/>
      <c r="B596" s="40">
        <v>4</v>
      </c>
      <c r="C596" s="175" t="s">
        <v>570</v>
      </c>
      <c r="D596" s="176">
        <v>12</v>
      </c>
      <c r="E596" s="176">
        <v>1974</v>
      </c>
      <c r="F596" s="292">
        <v>20.565</v>
      </c>
      <c r="G596" s="292">
        <v>0.663</v>
      </c>
      <c r="H596" s="292" t="s">
        <v>543</v>
      </c>
      <c r="I596" s="292">
        <v>19.902</v>
      </c>
      <c r="J596" s="442">
        <v>534.97</v>
      </c>
      <c r="K596" s="811">
        <v>19.9</v>
      </c>
      <c r="L596" s="442">
        <v>534.97</v>
      </c>
      <c r="M596" s="187">
        <f t="shared" si="95"/>
        <v>0.03719834757089182</v>
      </c>
      <c r="N596" s="550">
        <v>326.019</v>
      </c>
      <c r="O596" s="195">
        <f t="shared" si="96"/>
        <v>12.12736807671458</v>
      </c>
      <c r="P596" s="551">
        <f t="shared" si="97"/>
        <v>2231.9008542535094</v>
      </c>
      <c r="Q596" s="194">
        <f t="shared" si="98"/>
        <v>727.6420846028748</v>
      </c>
      <c r="S596" s="80"/>
      <c r="T596" s="80"/>
    </row>
    <row r="597" spans="1:20" ht="12.75">
      <c r="A597" s="899"/>
      <c r="B597" s="40">
        <v>5</v>
      </c>
      <c r="C597" s="175" t="s">
        <v>571</v>
      </c>
      <c r="D597" s="176">
        <v>12</v>
      </c>
      <c r="E597" s="176">
        <v>1967</v>
      </c>
      <c r="F597" s="292">
        <v>14.973</v>
      </c>
      <c r="G597" s="292" t="s">
        <v>543</v>
      </c>
      <c r="H597" s="292" t="s">
        <v>543</v>
      </c>
      <c r="I597" s="292">
        <v>14.973</v>
      </c>
      <c r="J597" s="442">
        <v>396.94</v>
      </c>
      <c r="K597" s="811">
        <v>14.97</v>
      </c>
      <c r="L597" s="442">
        <v>396.94</v>
      </c>
      <c r="M597" s="187">
        <f t="shared" si="95"/>
        <v>0.03771350833879176</v>
      </c>
      <c r="N597" s="550">
        <v>326.019</v>
      </c>
      <c r="O597" s="195">
        <f t="shared" si="96"/>
        <v>12.295320275104551</v>
      </c>
      <c r="P597" s="551">
        <f t="shared" si="97"/>
        <v>2262.8105003275055</v>
      </c>
      <c r="Q597" s="194">
        <f t="shared" si="98"/>
        <v>737.719216506273</v>
      </c>
      <c r="S597" s="80"/>
      <c r="T597" s="80"/>
    </row>
    <row r="598" spans="1:20" ht="12.75">
      <c r="A598" s="899"/>
      <c r="B598" s="40">
        <v>6</v>
      </c>
      <c r="C598" s="175" t="s">
        <v>572</v>
      </c>
      <c r="D598" s="176">
        <v>8</v>
      </c>
      <c r="E598" s="176">
        <v>1940</v>
      </c>
      <c r="F598" s="292">
        <v>11.7603</v>
      </c>
      <c r="G598" s="292" t="s">
        <v>543</v>
      </c>
      <c r="H598" s="292" t="s">
        <v>543</v>
      </c>
      <c r="I598" s="292">
        <v>11.7603</v>
      </c>
      <c r="J598" s="442">
        <v>310.83</v>
      </c>
      <c r="K598" s="811">
        <v>11.76</v>
      </c>
      <c r="L598" s="442">
        <v>310.83</v>
      </c>
      <c r="M598" s="187">
        <f t="shared" si="95"/>
        <v>0.03783418588939292</v>
      </c>
      <c r="N598" s="550">
        <v>326.019</v>
      </c>
      <c r="O598" s="195">
        <f t="shared" si="96"/>
        <v>12.334663449473991</v>
      </c>
      <c r="P598" s="551">
        <f t="shared" si="97"/>
        <v>2270.0511533635754</v>
      </c>
      <c r="Q598" s="194">
        <f t="shared" si="98"/>
        <v>740.0798069684395</v>
      </c>
      <c r="S598" s="80"/>
      <c r="T598" s="80"/>
    </row>
    <row r="599" spans="1:20" ht="12.75">
      <c r="A599" s="899"/>
      <c r="B599" s="40">
        <v>7</v>
      </c>
      <c r="C599" s="175" t="s">
        <v>573</v>
      </c>
      <c r="D599" s="176">
        <v>8</v>
      </c>
      <c r="E599" s="176"/>
      <c r="F599" s="292">
        <v>14.166</v>
      </c>
      <c r="G599" s="292" t="s">
        <v>543</v>
      </c>
      <c r="H599" s="292" t="s">
        <v>543</v>
      </c>
      <c r="I599" s="292">
        <v>14.166</v>
      </c>
      <c r="J599" s="442">
        <v>359.66</v>
      </c>
      <c r="K599" s="811">
        <v>14.17</v>
      </c>
      <c r="L599" s="442">
        <v>359.66</v>
      </c>
      <c r="M599" s="187">
        <f t="shared" si="95"/>
        <v>0.039398320636156364</v>
      </c>
      <c r="N599" s="550">
        <v>326.019</v>
      </c>
      <c r="O599" s="195">
        <f t="shared" si="96"/>
        <v>12.844601095479062</v>
      </c>
      <c r="P599" s="551">
        <f t="shared" si="97"/>
        <v>2363.899238169382</v>
      </c>
      <c r="Q599" s="194">
        <f t="shared" si="98"/>
        <v>770.6760657287438</v>
      </c>
      <c r="S599" s="80"/>
      <c r="T599" s="80"/>
    </row>
    <row r="600" spans="1:20" ht="12.75">
      <c r="A600" s="899"/>
      <c r="B600" s="40">
        <v>8</v>
      </c>
      <c r="C600" s="175" t="s">
        <v>574</v>
      </c>
      <c r="D600" s="176">
        <v>4</v>
      </c>
      <c r="E600" s="176">
        <v>1940</v>
      </c>
      <c r="F600" s="292">
        <v>7.7623</v>
      </c>
      <c r="G600" s="292" t="s">
        <v>543</v>
      </c>
      <c r="H600" s="292" t="s">
        <v>543</v>
      </c>
      <c r="I600" s="292">
        <v>7.7623</v>
      </c>
      <c r="J600" s="442">
        <v>196.24</v>
      </c>
      <c r="K600" s="811">
        <v>7.76</v>
      </c>
      <c r="L600" s="442">
        <v>196.24</v>
      </c>
      <c r="M600" s="187">
        <f t="shared" si="95"/>
        <v>0.03954341622503057</v>
      </c>
      <c r="N600" s="550">
        <v>326.019</v>
      </c>
      <c r="O600" s="195">
        <f t="shared" si="96"/>
        <v>12.891905014268241</v>
      </c>
      <c r="P600" s="551">
        <f t="shared" si="97"/>
        <v>2372.604973501834</v>
      </c>
      <c r="Q600" s="194">
        <f t="shared" si="98"/>
        <v>773.5143008560945</v>
      </c>
      <c r="S600" s="80"/>
      <c r="T600" s="80"/>
    </row>
    <row r="601" spans="1:20" ht="12.75">
      <c r="A601" s="899"/>
      <c r="B601" s="40">
        <v>9</v>
      </c>
      <c r="C601" s="175" t="s">
        <v>575</v>
      </c>
      <c r="D601" s="176">
        <v>13</v>
      </c>
      <c r="E601" s="176">
        <v>1940</v>
      </c>
      <c r="F601" s="292">
        <v>17.168</v>
      </c>
      <c r="G601" s="292" t="s">
        <v>543</v>
      </c>
      <c r="H601" s="292" t="s">
        <v>543</v>
      </c>
      <c r="I601" s="292">
        <v>17.168</v>
      </c>
      <c r="J601" s="442">
        <v>414.47</v>
      </c>
      <c r="K601" s="811">
        <v>17.17</v>
      </c>
      <c r="L601" s="442">
        <v>414.47</v>
      </c>
      <c r="M601" s="187">
        <f t="shared" si="95"/>
        <v>0.04142639998069824</v>
      </c>
      <c r="N601" s="550">
        <v>326.019</v>
      </c>
      <c r="O601" s="195">
        <f t="shared" si="96"/>
        <v>13.50579349530726</v>
      </c>
      <c r="P601" s="551">
        <f t="shared" si="97"/>
        <v>2485.5839988418948</v>
      </c>
      <c r="Q601" s="194">
        <f t="shared" si="98"/>
        <v>810.3476097184357</v>
      </c>
      <c r="S601" s="80"/>
      <c r="T601" s="80"/>
    </row>
    <row r="602" spans="1:20" ht="13.5" thickBot="1">
      <c r="A602" s="900"/>
      <c r="B602" s="42">
        <v>10</v>
      </c>
      <c r="C602" s="227" t="s">
        <v>576</v>
      </c>
      <c r="D602" s="228">
        <v>7</v>
      </c>
      <c r="E602" s="228">
        <v>1962</v>
      </c>
      <c r="F602" s="477">
        <v>12.3697</v>
      </c>
      <c r="G602" s="477">
        <v>0.349452</v>
      </c>
      <c r="H602" s="477">
        <v>1.12</v>
      </c>
      <c r="I602" s="477">
        <v>10.900248</v>
      </c>
      <c r="J602" s="484">
        <v>246.96</v>
      </c>
      <c r="K602" s="177">
        <v>10.9</v>
      </c>
      <c r="L602" s="484">
        <v>246.96</v>
      </c>
      <c r="M602" s="468">
        <f t="shared" si="95"/>
        <v>0.044136702299967606</v>
      </c>
      <c r="N602" s="550">
        <v>326.019</v>
      </c>
      <c r="O602" s="470">
        <f t="shared" si="96"/>
        <v>14.389403547133139</v>
      </c>
      <c r="P602" s="470">
        <f t="shared" si="97"/>
        <v>2648.2021379980565</v>
      </c>
      <c r="Q602" s="471">
        <f t="shared" si="98"/>
        <v>863.3642128279885</v>
      </c>
      <c r="S602" s="80"/>
      <c r="T602" s="80"/>
    </row>
    <row r="603" spans="19:20" ht="12.75">
      <c r="S603" s="80"/>
      <c r="T603" s="80"/>
    </row>
    <row r="604" spans="19:20" ht="12.75">
      <c r="S604" s="80"/>
      <c r="T604" s="80"/>
    </row>
    <row r="605" spans="19:20" ht="12.75">
      <c r="S605" s="80"/>
      <c r="T605" s="80"/>
    </row>
    <row r="606" spans="1:20" s="17" customFormat="1" ht="15">
      <c r="A606" s="992" t="s">
        <v>39</v>
      </c>
      <c r="B606" s="992"/>
      <c r="C606" s="992"/>
      <c r="D606" s="992"/>
      <c r="E606" s="992"/>
      <c r="F606" s="992"/>
      <c r="G606" s="992"/>
      <c r="H606" s="992"/>
      <c r="I606" s="992"/>
      <c r="J606" s="992"/>
      <c r="K606" s="992"/>
      <c r="L606" s="992"/>
      <c r="M606" s="992"/>
      <c r="N606" s="992"/>
      <c r="O606" s="992"/>
      <c r="P606" s="992"/>
      <c r="Q606" s="992"/>
      <c r="S606" s="80"/>
      <c r="T606" s="80"/>
    </row>
    <row r="607" spans="1:20" s="17" customFormat="1" ht="13.5" customHeight="1" thickBot="1">
      <c r="A607" s="980" t="s">
        <v>577</v>
      </c>
      <c r="B607" s="980"/>
      <c r="C607" s="980"/>
      <c r="D607" s="980"/>
      <c r="E607" s="980"/>
      <c r="F607" s="980"/>
      <c r="G607" s="980"/>
      <c r="H607" s="980"/>
      <c r="I607" s="980"/>
      <c r="J607" s="980"/>
      <c r="K607" s="980"/>
      <c r="L607" s="980"/>
      <c r="M607" s="980"/>
      <c r="N607" s="980"/>
      <c r="O607" s="980"/>
      <c r="P607" s="980"/>
      <c r="Q607" s="980"/>
      <c r="S607" s="80"/>
      <c r="T607" s="80"/>
    </row>
    <row r="608" spans="1:20" ht="12.75" customHeight="1">
      <c r="A608" s="885" t="s">
        <v>1</v>
      </c>
      <c r="B608" s="908" t="s">
        <v>0</v>
      </c>
      <c r="C608" s="880" t="s">
        <v>2</v>
      </c>
      <c r="D608" s="880" t="s">
        <v>3</v>
      </c>
      <c r="E608" s="880" t="s">
        <v>13</v>
      </c>
      <c r="F608" s="911" t="s">
        <v>14</v>
      </c>
      <c r="G608" s="912"/>
      <c r="H608" s="912"/>
      <c r="I608" s="913"/>
      <c r="J608" s="880" t="s">
        <v>4</v>
      </c>
      <c r="K608" s="880" t="s">
        <v>15</v>
      </c>
      <c r="L608" s="880" t="s">
        <v>5</v>
      </c>
      <c r="M608" s="880" t="s">
        <v>6</v>
      </c>
      <c r="N608" s="880" t="s">
        <v>16</v>
      </c>
      <c r="O608" s="892" t="s">
        <v>17</v>
      </c>
      <c r="P608" s="880" t="s">
        <v>25</v>
      </c>
      <c r="Q608" s="890" t="s">
        <v>26</v>
      </c>
      <c r="S608" s="80"/>
      <c r="T608" s="80"/>
    </row>
    <row r="609" spans="1:20" s="2" customFormat="1" ht="33.75">
      <c r="A609" s="886"/>
      <c r="B609" s="909"/>
      <c r="C609" s="888"/>
      <c r="D609" s="881"/>
      <c r="E609" s="881"/>
      <c r="F609" s="36" t="s">
        <v>18</v>
      </c>
      <c r="G609" s="36" t="s">
        <v>19</v>
      </c>
      <c r="H609" s="36" t="s">
        <v>20</v>
      </c>
      <c r="I609" s="36" t="s">
        <v>21</v>
      </c>
      <c r="J609" s="881"/>
      <c r="K609" s="881"/>
      <c r="L609" s="881"/>
      <c r="M609" s="881"/>
      <c r="N609" s="881"/>
      <c r="O609" s="893"/>
      <c r="P609" s="881"/>
      <c r="Q609" s="891"/>
      <c r="S609" s="80"/>
      <c r="T609" s="80"/>
    </row>
    <row r="610" spans="1:20" s="3" customFormat="1" ht="13.5" customHeight="1" thickBot="1">
      <c r="A610" s="887"/>
      <c r="B610" s="910"/>
      <c r="C610" s="889"/>
      <c r="D610" s="52" t="s">
        <v>7</v>
      </c>
      <c r="E610" s="52" t="s">
        <v>8</v>
      </c>
      <c r="F610" s="52" t="s">
        <v>9</v>
      </c>
      <c r="G610" s="52" t="s">
        <v>9</v>
      </c>
      <c r="H610" s="52" t="s">
        <v>9</v>
      </c>
      <c r="I610" s="52" t="s">
        <v>9</v>
      </c>
      <c r="J610" s="52" t="s">
        <v>22</v>
      </c>
      <c r="K610" s="52" t="s">
        <v>9</v>
      </c>
      <c r="L610" s="52" t="s">
        <v>22</v>
      </c>
      <c r="M610" s="52" t="s">
        <v>69</v>
      </c>
      <c r="N610" s="52" t="s">
        <v>10</v>
      </c>
      <c r="O610" s="52" t="s">
        <v>70</v>
      </c>
      <c r="P610" s="53" t="s">
        <v>27</v>
      </c>
      <c r="Q610" s="54" t="s">
        <v>28</v>
      </c>
      <c r="S610" s="80"/>
      <c r="T610" s="80"/>
    </row>
    <row r="611" spans="1:20" s="88" customFormat="1" ht="12.75">
      <c r="A611" s="915" t="s">
        <v>11</v>
      </c>
      <c r="B611" s="626">
        <v>1</v>
      </c>
      <c r="C611" s="56" t="s">
        <v>578</v>
      </c>
      <c r="D611" s="55">
        <v>100</v>
      </c>
      <c r="E611" s="55" t="s">
        <v>113</v>
      </c>
      <c r="F611" s="235">
        <f aca="true" t="shared" si="99" ref="F611:F650">G611+H611+I611</f>
        <v>54.48222</v>
      </c>
      <c r="G611" s="235">
        <v>7.8958200000000005</v>
      </c>
      <c r="H611" s="235">
        <v>16</v>
      </c>
      <c r="I611" s="235">
        <v>30.5864</v>
      </c>
      <c r="J611" s="86">
        <v>4428.23</v>
      </c>
      <c r="K611" s="237">
        <v>30.5864</v>
      </c>
      <c r="L611" s="86">
        <v>4428.23</v>
      </c>
      <c r="M611" s="237">
        <f aca="true" t="shared" si="100" ref="M611:M650">K611/L611</f>
        <v>0.006907138969746378</v>
      </c>
      <c r="N611" s="236">
        <v>224.9</v>
      </c>
      <c r="O611" s="238">
        <f aca="true" t="shared" si="101" ref="O611:O650">M611*N611</f>
        <v>1.5534155542959605</v>
      </c>
      <c r="P611" s="238">
        <f aca="true" t="shared" si="102" ref="P611:P650">M611*60*1000</f>
        <v>414.4283381847827</v>
      </c>
      <c r="Q611" s="239">
        <f aca="true" t="shared" si="103" ref="Q611:Q650">P611*N611/1000</f>
        <v>93.20493325775765</v>
      </c>
      <c r="S611" s="80"/>
      <c r="T611" s="80"/>
    </row>
    <row r="612" spans="1:20" s="88" customFormat="1" ht="12.75">
      <c r="A612" s="916"/>
      <c r="B612" s="87">
        <v>2</v>
      </c>
      <c r="C612" s="16" t="s">
        <v>579</v>
      </c>
      <c r="D612" s="31">
        <v>75</v>
      </c>
      <c r="E612" s="31" t="s">
        <v>113</v>
      </c>
      <c r="F612" s="235">
        <f t="shared" si="99"/>
        <v>50</v>
      </c>
      <c r="G612" s="135">
        <v>6.477</v>
      </c>
      <c r="H612" s="135">
        <v>11.84</v>
      </c>
      <c r="I612" s="135">
        <v>31.683000000000003</v>
      </c>
      <c r="J612" s="163">
        <v>3992.51</v>
      </c>
      <c r="K612" s="122">
        <v>31.683000000000003</v>
      </c>
      <c r="L612" s="163">
        <v>3992.51</v>
      </c>
      <c r="M612" s="122">
        <f t="shared" si="100"/>
        <v>0.007935609428655158</v>
      </c>
      <c r="N612" s="121">
        <v>224.9</v>
      </c>
      <c r="O612" s="121">
        <f t="shared" si="101"/>
        <v>1.784718560504545</v>
      </c>
      <c r="P612" s="238">
        <f t="shared" si="102"/>
        <v>476.13656571930943</v>
      </c>
      <c r="Q612" s="123">
        <f t="shared" si="103"/>
        <v>107.08311363027269</v>
      </c>
      <c r="S612" s="80"/>
      <c r="T612" s="80"/>
    </row>
    <row r="613" spans="1:20" ht="12.75">
      <c r="A613" s="916"/>
      <c r="B613" s="31">
        <v>3</v>
      </c>
      <c r="C613" s="16" t="s">
        <v>580</v>
      </c>
      <c r="D613" s="31">
        <v>75</v>
      </c>
      <c r="E613" s="31" t="s">
        <v>113</v>
      </c>
      <c r="F613" s="235">
        <f t="shared" si="99"/>
        <v>52.8981</v>
      </c>
      <c r="G613" s="135">
        <v>7.292999999999999</v>
      </c>
      <c r="H613" s="135">
        <v>11.85</v>
      </c>
      <c r="I613" s="135">
        <v>33.7551</v>
      </c>
      <c r="J613" s="163">
        <v>3987.52</v>
      </c>
      <c r="K613" s="122">
        <v>33.7551</v>
      </c>
      <c r="L613" s="163">
        <v>3987.52</v>
      </c>
      <c r="M613" s="122">
        <f t="shared" si="100"/>
        <v>0.008465186381510312</v>
      </c>
      <c r="N613" s="236">
        <v>224.9</v>
      </c>
      <c r="O613" s="121">
        <f t="shared" si="101"/>
        <v>1.9038204172016693</v>
      </c>
      <c r="P613" s="238">
        <f t="shared" si="102"/>
        <v>507.91118289061876</v>
      </c>
      <c r="Q613" s="123">
        <f t="shared" si="103"/>
        <v>114.22922503210016</v>
      </c>
      <c r="S613" s="80"/>
      <c r="T613" s="80"/>
    </row>
    <row r="614" spans="1:20" ht="12.75">
      <c r="A614" s="916"/>
      <c r="B614" s="31">
        <v>4</v>
      </c>
      <c r="C614" s="16" t="s">
        <v>581</v>
      </c>
      <c r="D614" s="31">
        <v>55</v>
      </c>
      <c r="E614" s="31" t="s">
        <v>113</v>
      </c>
      <c r="F614" s="235">
        <f t="shared" si="99"/>
        <v>34.800000000000004</v>
      </c>
      <c r="G614" s="135">
        <v>4.692</v>
      </c>
      <c r="H614" s="135">
        <v>8.4</v>
      </c>
      <c r="I614" s="135">
        <v>21.708000000000002</v>
      </c>
      <c r="J614" s="163">
        <v>2537.72</v>
      </c>
      <c r="K614" s="122">
        <v>21.708000000000002</v>
      </c>
      <c r="L614" s="163">
        <v>2537.72</v>
      </c>
      <c r="M614" s="122">
        <f t="shared" si="100"/>
        <v>0.00855413520798197</v>
      </c>
      <c r="N614" s="121">
        <v>224.9</v>
      </c>
      <c r="O614" s="121">
        <f t="shared" si="101"/>
        <v>1.923825008275145</v>
      </c>
      <c r="P614" s="238">
        <f t="shared" si="102"/>
        <v>513.2481124789181</v>
      </c>
      <c r="Q614" s="123">
        <f t="shared" si="103"/>
        <v>115.42950049650868</v>
      </c>
      <c r="S614" s="80"/>
      <c r="T614" s="80"/>
    </row>
    <row r="615" spans="1:20" ht="12.75">
      <c r="A615" s="916"/>
      <c r="B615" s="31">
        <v>5</v>
      </c>
      <c r="C615" s="16" t="s">
        <v>582</v>
      </c>
      <c r="D615" s="31">
        <v>2</v>
      </c>
      <c r="E615" s="31" t="s">
        <v>113</v>
      </c>
      <c r="F615" s="235">
        <f t="shared" si="99"/>
        <v>10.100000000000001</v>
      </c>
      <c r="G615" s="135">
        <v>2.802552</v>
      </c>
      <c r="H615" s="135">
        <v>1.6</v>
      </c>
      <c r="I615" s="135">
        <v>5.6974480000000005</v>
      </c>
      <c r="J615" s="163">
        <v>641.61</v>
      </c>
      <c r="K615" s="122">
        <v>5.6974480000000005</v>
      </c>
      <c r="L615" s="163">
        <v>641.61</v>
      </c>
      <c r="M615" s="122">
        <f t="shared" si="100"/>
        <v>0.008879923941335079</v>
      </c>
      <c r="N615" s="236">
        <v>224.9</v>
      </c>
      <c r="O615" s="121">
        <f t="shared" si="101"/>
        <v>1.9970948944062592</v>
      </c>
      <c r="P615" s="238">
        <f t="shared" si="102"/>
        <v>532.7954364801047</v>
      </c>
      <c r="Q615" s="123">
        <f t="shared" si="103"/>
        <v>119.82569366437556</v>
      </c>
      <c r="S615" s="80"/>
      <c r="T615" s="80"/>
    </row>
    <row r="616" spans="1:20" ht="12.75">
      <c r="A616" s="916"/>
      <c r="B616" s="31">
        <v>6</v>
      </c>
      <c r="C616" s="16" t="s">
        <v>583</v>
      </c>
      <c r="D616" s="31">
        <v>28</v>
      </c>
      <c r="E616" s="31" t="s">
        <v>113</v>
      </c>
      <c r="F616" s="235">
        <f t="shared" si="99"/>
        <v>20.36472</v>
      </c>
      <c r="G616" s="135">
        <v>2.12772</v>
      </c>
      <c r="H616" s="135">
        <v>4.08</v>
      </c>
      <c r="I616" s="135">
        <v>14.157</v>
      </c>
      <c r="J616" s="163">
        <v>1537.65</v>
      </c>
      <c r="K616" s="122">
        <v>14.157</v>
      </c>
      <c r="L616" s="163">
        <v>1537.65</v>
      </c>
      <c r="M616" s="122">
        <f t="shared" si="100"/>
        <v>0.009206906643254317</v>
      </c>
      <c r="N616" s="121">
        <v>224.9</v>
      </c>
      <c r="O616" s="121">
        <f t="shared" si="101"/>
        <v>2.070633304067896</v>
      </c>
      <c r="P616" s="238">
        <f t="shared" si="102"/>
        <v>552.414398595259</v>
      </c>
      <c r="Q616" s="123">
        <f t="shared" si="103"/>
        <v>124.23799824407374</v>
      </c>
      <c r="S616" s="80"/>
      <c r="T616" s="80"/>
    </row>
    <row r="617" spans="1:20" ht="12.75">
      <c r="A617" s="916"/>
      <c r="B617" s="31">
        <v>7</v>
      </c>
      <c r="C617" s="16" t="s">
        <v>584</v>
      </c>
      <c r="D617" s="31">
        <v>20</v>
      </c>
      <c r="E617" s="31" t="s">
        <v>113</v>
      </c>
      <c r="F617" s="235">
        <f t="shared" si="99"/>
        <v>17.72</v>
      </c>
      <c r="G617" s="135">
        <v>2.091</v>
      </c>
      <c r="H617" s="135">
        <v>3.2</v>
      </c>
      <c r="I617" s="135">
        <v>12.429</v>
      </c>
      <c r="J617" s="163">
        <v>1239.08</v>
      </c>
      <c r="K617" s="122">
        <v>12.429</v>
      </c>
      <c r="L617" s="163">
        <v>1239.08</v>
      </c>
      <c r="M617" s="122">
        <f t="shared" si="100"/>
        <v>0.010030829324983052</v>
      </c>
      <c r="N617" s="236">
        <v>224.9</v>
      </c>
      <c r="O617" s="121">
        <f t="shared" si="101"/>
        <v>2.2559335151886883</v>
      </c>
      <c r="P617" s="238">
        <f t="shared" si="102"/>
        <v>601.8497594989831</v>
      </c>
      <c r="Q617" s="123">
        <f t="shared" si="103"/>
        <v>135.3560109113213</v>
      </c>
      <c r="S617" s="80"/>
      <c r="T617" s="80"/>
    </row>
    <row r="618" spans="1:20" ht="12.75">
      <c r="A618" s="916"/>
      <c r="B618" s="31">
        <v>8</v>
      </c>
      <c r="C618" s="16" t="s">
        <v>585</v>
      </c>
      <c r="D618" s="31">
        <v>15</v>
      </c>
      <c r="E618" s="31" t="s">
        <v>113</v>
      </c>
      <c r="F618" s="235">
        <f t="shared" si="99"/>
        <v>17.639000000000003</v>
      </c>
      <c r="G618" s="135">
        <v>7.14</v>
      </c>
      <c r="H618" s="135">
        <v>2.25</v>
      </c>
      <c r="I618" s="135">
        <v>8.249</v>
      </c>
      <c r="J618" s="163">
        <v>807.07</v>
      </c>
      <c r="K618" s="122">
        <v>8.249</v>
      </c>
      <c r="L618" s="163">
        <v>807.07</v>
      </c>
      <c r="M618" s="122">
        <f t="shared" si="100"/>
        <v>0.010220922596552964</v>
      </c>
      <c r="N618" s="121">
        <v>224.9</v>
      </c>
      <c r="O618" s="121">
        <f t="shared" si="101"/>
        <v>2.2986854919647617</v>
      </c>
      <c r="P618" s="238">
        <f t="shared" si="102"/>
        <v>613.2553557931778</v>
      </c>
      <c r="Q618" s="123">
        <f t="shared" si="103"/>
        <v>137.9211295178857</v>
      </c>
      <c r="S618" s="80"/>
      <c r="T618" s="80"/>
    </row>
    <row r="619" spans="1:20" ht="12.75">
      <c r="A619" s="916"/>
      <c r="B619" s="31">
        <v>9</v>
      </c>
      <c r="C619" s="16" t="s">
        <v>586</v>
      </c>
      <c r="D619" s="31">
        <v>32</v>
      </c>
      <c r="E619" s="31" t="s">
        <v>113</v>
      </c>
      <c r="F619" s="235">
        <f t="shared" si="99"/>
        <v>22.292808</v>
      </c>
      <c r="G619" s="135">
        <v>1.703808</v>
      </c>
      <c r="H619" s="135">
        <v>5.12</v>
      </c>
      <c r="I619" s="135">
        <v>15.469</v>
      </c>
      <c r="J619" s="163">
        <v>1417.51</v>
      </c>
      <c r="K619" s="122">
        <v>15.469</v>
      </c>
      <c r="L619" s="163">
        <v>1417.51</v>
      </c>
      <c r="M619" s="122">
        <f t="shared" si="100"/>
        <v>0.010912797793313627</v>
      </c>
      <c r="N619" s="236">
        <v>224.9</v>
      </c>
      <c r="O619" s="121">
        <f t="shared" si="101"/>
        <v>2.454288223716235</v>
      </c>
      <c r="P619" s="238">
        <f t="shared" si="102"/>
        <v>654.7678675988176</v>
      </c>
      <c r="Q619" s="123">
        <f t="shared" si="103"/>
        <v>147.2572934229741</v>
      </c>
      <c r="S619" s="80"/>
      <c r="T619" s="80"/>
    </row>
    <row r="620" spans="1:20" ht="13.5" thickBot="1">
      <c r="A620" s="942"/>
      <c r="B620" s="57">
        <v>10</v>
      </c>
      <c r="C620" s="58" t="s">
        <v>587</v>
      </c>
      <c r="D620" s="57">
        <v>53</v>
      </c>
      <c r="E620" s="57" t="s">
        <v>113</v>
      </c>
      <c r="F620" s="203">
        <f t="shared" si="99"/>
        <v>41.794</v>
      </c>
      <c r="G620" s="203">
        <v>3.162</v>
      </c>
      <c r="H620" s="203">
        <v>8.24</v>
      </c>
      <c r="I620" s="203">
        <v>30.392</v>
      </c>
      <c r="J620" s="311">
        <v>2517.62</v>
      </c>
      <c r="K620" s="125">
        <v>30.392</v>
      </c>
      <c r="L620" s="311">
        <v>2517.62</v>
      </c>
      <c r="M620" s="125">
        <f t="shared" si="100"/>
        <v>0.012071718527815953</v>
      </c>
      <c r="N620" s="124">
        <v>224.9</v>
      </c>
      <c r="O620" s="425">
        <f t="shared" si="101"/>
        <v>2.7149294969058078</v>
      </c>
      <c r="P620" s="124">
        <f t="shared" si="102"/>
        <v>724.3031116689571</v>
      </c>
      <c r="Q620" s="126">
        <f t="shared" si="103"/>
        <v>162.89576981434845</v>
      </c>
      <c r="S620" s="80"/>
      <c r="T620" s="80"/>
    </row>
    <row r="621" spans="1:20" ht="12.75">
      <c r="A621" s="1004" t="s">
        <v>29</v>
      </c>
      <c r="B621" s="60">
        <v>1</v>
      </c>
      <c r="C621" s="34" t="s">
        <v>588</v>
      </c>
      <c r="D621" s="35">
        <v>25</v>
      </c>
      <c r="E621" s="60" t="s">
        <v>113</v>
      </c>
      <c r="F621" s="247">
        <f t="shared" si="99"/>
        <v>20.994</v>
      </c>
      <c r="G621" s="247">
        <v>1.224</v>
      </c>
      <c r="H621" s="247">
        <v>3.92</v>
      </c>
      <c r="I621" s="248">
        <v>15.85</v>
      </c>
      <c r="J621" s="397">
        <v>1257.05</v>
      </c>
      <c r="K621" s="405">
        <v>15.85</v>
      </c>
      <c r="L621" s="397">
        <v>1257.05</v>
      </c>
      <c r="M621" s="136">
        <f t="shared" si="100"/>
        <v>0.012608885883616404</v>
      </c>
      <c r="N621" s="137">
        <v>224.9</v>
      </c>
      <c r="O621" s="137">
        <f t="shared" si="101"/>
        <v>2.835738435225329</v>
      </c>
      <c r="P621" s="137">
        <f t="shared" si="102"/>
        <v>756.5331530169842</v>
      </c>
      <c r="Q621" s="157">
        <f t="shared" si="103"/>
        <v>170.14430611351978</v>
      </c>
      <c r="S621" s="80"/>
      <c r="T621" s="80"/>
    </row>
    <row r="622" spans="1:20" ht="12.75">
      <c r="A622" s="996"/>
      <c r="B622" s="35">
        <v>2</v>
      </c>
      <c r="C622" s="34" t="s">
        <v>589</v>
      </c>
      <c r="D622" s="35">
        <v>44</v>
      </c>
      <c r="E622" s="35" t="s">
        <v>113</v>
      </c>
      <c r="F622" s="252">
        <f t="shared" si="99"/>
        <v>41.838</v>
      </c>
      <c r="G622" s="248">
        <v>4.794</v>
      </c>
      <c r="H622" s="248">
        <v>7.04</v>
      </c>
      <c r="I622" s="248">
        <v>30.004</v>
      </c>
      <c r="J622" s="110">
        <v>2361.2</v>
      </c>
      <c r="K622" s="128">
        <v>30.004</v>
      </c>
      <c r="L622" s="110">
        <v>2361.2</v>
      </c>
      <c r="M622" s="136">
        <f t="shared" si="100"/>
        <v>0.012707098085719128</v>
      </c>
      <c r="N622" s="127">
        <v>224.9</v>
      </c>
      <c r="O622" s="137">
        <f t="shared" si="101"/>
        <v>2.857826359478232</v>
      </c>
      <c r="P622" s="137">
        <f t="shared" si="102"/>
        <v>762.4258851431476</v>
      </c>
      <c r="Q622" s="157">
        <f t="shared" si="103"/>
        <v>171.4695815686939</v>
      </c>
      <c r="S622" s="80"/>
      <c r="T622" s="80"/>
    </row>
    <row r="623" spans="1:20" ht="12.75">
      <c r="A623" s="996"/>
      <c r="B623" s="35">
        <v>3</v>
      </c>
      <c r="C623" s="34" t="s">
        <v>590</v>
      </c>
      <c r="D623" s="35">
        <v>15</v>
      </c>
      <c r="E623" s="35" t="s">
        <v>113</v>
      </c>
      <c r="F623" s="252">
        <f t="shared" si="99"/>
        <v>11.081</v>
      </c>
      <c r="G623" s="248">
        <v>0</v>
      </c>
      <c r="H623" s="248">
        <v>0</v>
      </c>
      <c r="I623" s="248">
        <v>11.081</v>
      </c>
      <c r="J623" s="110">
        <v>846.62</v>
      </c>
      <c r="K623" s="128">
        <v>11.081</v>
      </c>
      <c r="L623" s="110">
        <v>846.62</v>
      </c>
      <c r="M623" s="128">
        <f t="shared" si="100"/>
        <v>0.013088516689896293</v>
      </c>
      <c r="N623" s="137">
        <v>224.9</v>
      </c>
      <c r="O623" s="137">
        <f t="shared" si="101"/>
        <v>2.9436074035576762</v>
      </c>
      <c r="P623" s="137">
        <f t="shared" si="102"/>
        <v>785.3110013937775</v>
      </c>
      <c r="Q623" s="155">
        <f t="shared" si="103"/>
        <v>176.61644421346054</v>
      </c>
      <c r="S623" s="80"/>
      <c r="T623" s="80"/>
    </row>
    <row r="624" spans="1:20" ht="12.75">
      <c r="A624" s="996"/>
      <c r="B624" s="35">
        <v>4</v>
      </c>
      <c r="C624" s="34" t="s">
        <v>591</v>
      </c>
      <c r="D624" s="35">
        <v>76</v>
      </c>
      <c r="E624" s="35" t="s">
        <v>113</v>
      </c>
      <c r="F624" s="252">
        <f t="shared" si="99"/>
        <v>77.61</v>
      </c>
      <c r="G624" s="248">
        <v>6.528</v>
      </c>
      <c r="H624" s="248">
        <v>12</v>
      </c>
      <c r="I624" s="248">
        <v>59.082</v>
      </c>
      <c r="J624" s="110">
        <v>4006.48</v>
      </c>
      <c r="K624" s="128">
        <v>59.082</v>
      </c>
      <c r="L624" s="110">
        <v>4006.48</v>
      </c>
      <c r="M624" s="128">
        <f t="shared" si="100"/>
        <v>0.014746610491004572</v>
      </c>
      <c r="N624" s="127">
        <v>224.9</v>
      </c>
      <c r="O624" s="127">
        <f t="shared" si="101"/>
        <v>3.3165126994269283</v>
      </c>
      <c r="P624" s="137">
        <f t="shared" si="102"/>
        <v>884.7966294602744</v>
      </c>
      <c r="Q624" s="155">
        <f t="shared" si="103"/>
        <v>198.99076196561572</v>
      </c>
      <c r="S624" s="80"/>
      <c r="T624" s="80"/>
    </row>
    <row r="625" spans="1:20" ht="12.75">
      <c r="A625" s="996"/>
      <c r="B625" s="35">
        <v>5</v>
      </c>
      <c r="C625" s="34" t="s">
        <v>592</v>
      </c>
      <c r="D625" s="35">
        <v>1</v>
      </c>
      <c r="E625" s="35" t="s">
        <v>113</v>
      </c>
      <c r="F625" s="252">
        <f t="shared" si="99"/>
        <v>47.099999999999994</v>
      </c>
      <c r="G625" s="248">
        <v>4.80675</v>
      </c>
      <c r="H625" s="248">
        <v>3.44</v>
      </c>
      <c r="I625" s="248">
        <v>38.853249999999996</v>
      </c>
      <c r="J625" s="110">
        <v>2611.45</v>
      </c>
      <c r="K625" s="128">
        <v>38.853249999999996</v>
      </c>
      <c r="L625" s="110">
        <v>2611.45</v>
      </c>
      <c r="M625" s="128">
        <f t="shared" si="100"/>
        <v>0.014878037105822434</v>
      </c>
      <c r="N625" s="137">
        <v>224.9</v>
      </c>
      <c r="O625" s="127">
        <f t="shared" si="101"/>
        <v>3.3460705450994657</v>
      </c>
      <c r="P625" s="137">
        <f t="shared" si="102"/>
        <v>892.682226349346</v>
      </c>
      <c r="Q625" s="155">
        <f t="shared" si="103"/>
        <v>200.76423270596794</v>
      </c>
      <c r="S625" s="80"/>
      <c r="T625" s="80"/>
    </row>
    <row r="626" spans="1:20" ht="12.75">
      <c r="A626" s="996"/>
      <c r="B626" s="35">
        <v>6</v>
      </c>
      <c r="C626" s="34" t="s">
        <v>593</v>
      </c>
      <c r="D626" s="35">
        <v>45</v>
      </c>
      <c r="E626" s="35" t="s">
        <v>113</v>
      </c>
      <c r="F626" s="252">
        <f t="shared" si="99"/>
        <v>48.35</v>
      </c>
      <c r="G626" s="248">
        <v>4.437</v>
      </c>
      <c r="H626" s="248">
        <v>7.2</v>
      </c>
      <c r="I626" s="248">
        <v>36.713</v>
      </c>
      <c r="J626" s="110">
        <v>2335.09</v>
      </c>
      <c r="K626" s="128">
        <v>36.713</v>
      </c>
      <c r="L626" s="110">
        <v>2335.09</v>
      </c>
      <c r="M626" s="128">
        <f t="shared" si="100"/>
        <v>0.01572230620661302</v>
      </c>
      <c r="N626" s="127">
        <v>224.9</v>
      </c>
      <c r="O626" s="127">
        <f t="shared" si="101"/>
        <v>3.5359466658672685</v>
      </c>
      <c r="P626" s="137">
        <f t="shared" si="102"/>
        <v>943.3383723967812</v>
      </c>
      <c r="Q626" s="155">
        <f t="shared" si="103"/>
        <v>212.1567999520361</v>
      </c>
      <c r="S626" s="80"/>
      <c r="T626" s="80"/>
    </row>
    <row r="627" spans="1:20" ht="12.75">
      <c r="A627" s="996"/>
      <c r="B627" s="35">
        <v>7</v>
      </c>
      <c r="C627" s="34" t="s">
        <v>594</v>
      </c>
      <c r="D627" s="35">
        <v>75</v>
      </c>
      <c r="E627" s="35" t="s">
        <v>113</v>
      </c>
      <c r="F627" s="252">
        <f t="shared" si="99"/>
        <v>83.68700000000001</v>
      </c>
      <c r="G627" s="248">
        <v>6.579</v>
      </c>
      <c r="H627" s="248">
        <v>12</v>
      </c>
      <c r="I627" s="248">
        <v>65.108</v>
      </c>
      <c r="J627" s="110">
        <v>4062.96</v>
      </c>
      <c r="K627" s="128">
        <v>65.108</v>
      </c>
      <c r="L627" s="110">
        <v>4062.96</v>
      </c>
      <c r="M627" s="128">
        <f t="shared" si="100"/>
        <v>0.016024770118337372</v>
      </c>
      <c r="N627" s="137">
        <v>224.9</v>
      </c>
      <c r="O627" s="127">
        <f t="shared" si="101"/>
        <v>3.603970799614075</v>
      </c>
      <c r="P627" s="137">
        <f t="shared" si="102"/>
        <v>961.4862071002424</v>
      </c>
      <c r="Q627" s="155">
        <f t="shared" si="103"/>
        <v>216.23824797684452</v>
      </c>
      <c r="S627" s="80"/>
      <c r="T627" s="80"/>
    </row>
    <row r="628" spans="1:20" ht="12.75">
      <c r="A628" s="996"/>
      <c r="B628" s="35">
        <v>8</v>
      </c>
      <c r="C628" s="34" t="s">
        <v>595</v>
      </c>
      <c r="D628" s="35">
        <v>11</v>
      </c>
      <c r="E628" s="35" t="s">
        <v>113</v>
      </c>
      <c r="F628" s="252">
        <f t="shared" si="99"/>
        <v>9.4</v>
      </c>
      <c r="G628" s="248">
        <v>0.51</v>
      </c>
      <c r="H628" s="248">
        <v>0.08</v>
      </c>
      <c r="I628" s="248">
        <v>8.81</v>
      </c>
      <c r="J628" s="110">
        <v>545.95</v>
      </c>
      <c r="K628" s="128">
        <v>8.81</v>
      </c>
      <c r="L628" s="110">
        <v>545.95</v>
      </c>
      <c r="M628" s="128">
        <f t="shared" si="100"/>
        <v>0.016137008883597398</v>
      </c>
      <c r="N628" s="127">
        <v>224.9</v>
      </c>
      <c r="O628" s="127">
        <f t="shared" si="101"/>
        <v>3.629213297921055</v>
      </c>
      <c r="P628" s="137">
        <f t="shared" si="102"/>
        <v>968.2205330158439</v>
      </c>
      <c r="Q628" s="155">
        <f t="shared" si="103"/>
        <v>217.7527978752633</v>
      </c>
      <c r="S628" s="80"/>
      <c r="T628" s="80"/>
    </row>
    <row r="629" spans="1:20" ht="12.75">
      <c r="A629" s="996"/>
      <c r="B629" s="35">
        <v>9</v>
      </c>
      <c r="C629" s="34" t="s">
        <v>596</v>
      </c>
      <c r="D629" s="35">
        <v>28</v>
      </c>
      <c r="E629" s="35" t="s">
        <v>113</v>
      </c>
      <c r="F629" s="252">
        <f t="shared" si="99"/>
        <v>27.68</v>
      </c>
      <c r="G629" s="248">
        <v>2.244</v>
      </c>
      <c r="H629" s="248">
        <v>3.61</v>
      </c>
      <c r="I629" s="248">
        <v>21.826</v>
      </c>
      <c r="J629" s="110">
        <v>1349.72</v>
      </c>
      <c r="K629" s="128">
        <v>21.826</v>
      </c>
      <c r="L629" s="110">
        <v>1349.72</v>
      </c>
      <c r="M629" s="128">
        <f t="shared" si="100"/>
        <v>0.016170761343093382</v>
      </c>
      <c r="N629" s="137">
        <v>224.9</v>
      </c>
      <c r="O629" s="127">
        <f t="shared" si="101"/>
        <v>3.636804226061702</v>
      </c>
      <c r="P629" s="137">
        <f t="shared" si="102"/>
        <v>970.2456805856029</v>
      </c>
      <c r="Q629" s="155">
        <f t="shared" si="103"/>
        <v>218.2082535637021</v>
      </c>
      <c r="S629" s="80"/>
      <c r="T629" s="80"/>
    </row>
    <row r="630" spans="1:20" ht="13.5" customHeight="1" thickBot="1">
      <c r="A630" s="987"/>
      <c r="B630" s="61">
        <v>10</v>
      </c>
      <c r="C630" s="76" t="s">
        <v>597</v>
      </c>
      <c r="D630" s="37">
        <v>45</v>
      </c>
      <c r="E630" s="35" t="s">
        <v>113</v>
      </c>
      <c r="F630" s="356">
        <f t="shared" si="99"/>
        <v>60</v>
      </c>
      <c r="G630" s="250">
        <v>5.0489999999999995</v>
      </c>
      <c r="H630" s="250">
        <v>7.2</v>
      </c>
      <c r="I630" s="250">
        <v>47.751000000000005</v>
      </c>
      <c r="J630" s="171">
        <v>2937.1</v>
      </c>
      <c r="K630" s="205">
        <v>47.751000000000005</v>
      </c>
      <c r="L630" s="171">
        <v>2937.1</v>
      </c>
      <c r="M630" s="205">
        <f t="shared" si="100"/>
        <v>0.016257873412549795</v>
      </c>
      <c r="N630" s="158">
        <v>224.9</v>
      </c>
      <c r="O630" s="158">
        <f t="shared" si="101"/>
        <v>3.656395730482449</v>
      </c>
      <c r="P630" s="158">
        <f t="shared" si="102"/>
        <v>975.4724047529877</v>
      </c>
      <c r="Q630" s="159">
        <f t="shared" si="103"/>
        <v>219.38374382894693</v>
      </c>
      <c r="S630" s="80"/>
      <c r="T630" s="80"/>
    </row>
    <row r="631" spans="1:20" ht="12.75">
      <c r="A631" s="1003" t="s">
        <v>30</v>
      </c>
      <c r="B631" s="218">
        <v>1</v>
      </c>
      <c r="C631" s="254" t="s">
        <v>598</v>
      </c>
      <c r="D631" s="218">
        <v>44</v>
      </c>
      <c r="E631" s="218" t="s">
        <v>113</v>
      </c>
      <c r="F631" s="325">
        <f t="shared" si="99"/>
        <v>89.486</v>
      </c>
      <c r="G631" s="389">
        <v>4.947</v>
      </c>
      <c r="H631" s="389">
        <v>6.8</v>
      </c>
      <c r="I631" s="389">
        <v>77.739</v>
      </c>
      <c r="J631" s="399">
        <v>2965.63</v>
      </c>
      <c r="K631" s="409">
        <v>77.739</v>
      </c>
      <c r="L631" s="331">
        <v>2965.63</v>
      </c>
      <c r="M631" s="268">
        <f t="shared" si="100"/>
        <v>0.026213317237821308</v>
      </c>
      <c r="N631" s="267">
        <v>224.9</v>
      </c>
      <c r="O631" s="267">
        <f t="shared" si="101"/>
        <v>5.895375046786012</v>
      </c>
      <c r="P631" s="267">
        <f t="shared" si="102"/>
        <v>1572.7990342692783</v>
      </c>
      <c r="Q631" s="269">
        <f t="shared" si="103"/>
        <v>353.7225028071607</v>
      </c>
      <c r="S631" s="80"/>
      <c r="T631" s="80"/>
    </row>
    <row r="632" spans="1:20" ht="12.75">
      <c r="A632" s="939"/>
      <c r="B632" s="219">
        <v>2</v>
      </c>
      <c r="C632" s="256" t="s">
        <v>599</v>
      </c>
      <c r="D632" s="219">
        <v>54</v>
      </c>
      <c r="E632" s="219" t="s">
        <v>113</v>
      </c>
      <c r="F632" s="325">
        <f t="shared" si="99"/>
        <v>91.74000000000001</v>
      </c>
      <c r="G632" s="270">
        <v>4.947</v>
      </c>
      <c r="H632" s="270">
        <v>8.56</v>
      </c>
      <c r="I632" s="270">
        <v>78.233</v>
      </c>
      <c r="J632" s="261">
        <v>2977.35</v>
      </c>
      <c r="K632" s="272">
        <v>78.233</v>
      </c>
      <c r="L632" s="261">
        <v>2977.35</v>
      </c>
      <c r="M632" s="272">
        <f t="shared" si="100"/>
        <v>0.026276050850588612</v>
      </c>
      <c r="N632" s="271">
        <v>224.9</v>
      </c>
      <c r="O632" s="271">
        <f t="shared" si="101"/>
        <v>5.909483836297379</v>
      </c>
      <c r="P632" s="267">
        <f t="shared" si="102"/>
        <v>1576.563051035317</v>
      </c>
      <c r="Q632" s="273">
        <f t="shared" si="103"/>
        <v>354.56903017784276</v>
      </c>
      <c r="S632" s="80"/>
      <c r="T632" s="80"/>
    </row>
    <row r="633" spans="1:20" ht="12.75">
      <c r="A633" s="939"/>
      <c r="B633" s="219">
        <v>3</v>
      </c>
      <c r="C633" s="256" t="s">
        <v>600</v>
      </c>
      <c r="D633" s="219">
        <v>54</v>
      </c>
      <c r="E633" s="262" t="s">
        <v>113</v>
      </c>
      <c r="F633" s="325">
        <f t="shared" si="99"/>
        <v>74.595452</v>
      </c>
      <c r="G633" s="270">
        <v>3.205452</v>
      </c>
      <c r="H633" s="270">
        <v>8.4</v>
      </c>
      <c r="I633" s="270">
        <v>62.99</v>
      </c>
      <c r="J633" s="261">
        <v>2392.97</v>
      </c>
      <c r="K633" s="272">
        <v>62.99</v>
      </c>
      <c r="L633" s="261">
        <v>2392.97</v>
      </c>
      <c r="M633" s="272">
        <f t="shared" si="100"/>
        <v>0.026322937604733868</v>
      </c>
      <c r="N633" s="267">
        <v>224.9</v>
      </c>
      <c r="O633" s="271">
        <f t="shared" si="101"/>
        <v>5.920028667304647</v>
      </c>
      <c r="P633" s="267">
        <f t="shared" si="102"/>
        <v>1579.376256284032</v>
      </c>
      <c r="Q633" s="273">
        <f t="shared" si="103"/>
        <v>355.2017200382788</v>
      </c>
      <c r="S633" s="80"/>
      <c r="T633" s="80"/>
    </row>
    <row r="634" spans="1:20" ht="12.75">
      <c r="A634" s="939"/>
      <c r="B634" s="219">
        <v>4</v>
      </c>
      <c r="C634" s="256" t="s">
        <v>601</v>
      </c>
      <c r="D634" s="219">
        <v>28</v>
      </c>
      <c r="E634" s="219" t="s">
        <v>113</v>
      </c>
      <c r="F634" s="325">
        <f t="shared" si="99"/>
        <v>40</v>
      </c>
      <c r="G634" s="270">
        <v>0</v>
      </c>
      <c r="H634" s="270">
        <v>0</v>
      </c>
      <c r="I634" s="270">
        <v>40</v>
      </c>
      <c r="J634" s="261">
        <v>1512.77</v>
      </c>
      <c r="K634" s="272">
        <v>40</v>
      </c>
      <c r="L634" s="261">
        <v>1512.77</v>
      </c>
      <c r="M634" s="272">
        <f t="shared" si="100"/>
        <v>0.0264415608453367</v>
      </c>
      <c r="N634" s="271">
        <v>224.9</v>
      </c>
      <c r="O634" s="271">
        <f t="shared" si="101"/>
        <v>5.946707034116224</v>
      </c>
      <c r="P634" s="267">
        <f t="shared" si="102"/>
        <v>1586.493650720202</v>
      </c>
      <c r="Q634" s="273">
        <f t="shared" si="103"/>
        <v>356.80242204697345</v>
      </c>
      <c r="S634" s="80"/>
      <c r="T634" s="80"/>
    </row>
    <row r="635" spans="1:20" ht="12.75">
      <c r="A635" s="939"/>
      <c r="B635" s="219">
        <v>5</v>
      </c>
      <c r="C635" s="256" t="s">
        <v>602</v>
      </c>
      <c r="D635" s="219">
        <v>40</v>
      </c>
      <c r="E635" s="262" t="s">
        <v>113</v>
      </c>
      <c r="F635" s="325">
        <f t="shared" si="99"/>
        <v>48.297000000000004</v>
      </c>
      <c r="G635" s="270">
        <v>1.887</v>
      </c>
      <c r="H635" s="270">
        <v>4.1</v>
      </c>
      <c r="I635" s="270">
        <v>42.31</v>
      </c>
      <c r="J635" s="261">
        <v>1596.22</v>
      </c>
      <c r="K635" s="272">
        <v>42.31</v>
      </c>
      <c r="L635" s="261">
        <v>1596.22</v>
      </c>
      <c r="M635" s="272">
        <f t="shared" si="100"/>
        <v>0.026506371302201452</v>
      </c>
      <c r="N635" s="267">
        <v>224.9</v>
      </c>
      <c r="O635" s="271">
        <f t="shared" si="101"/>
        <v>5.961282905865107</v>
      </c>
      <c r="P635" s="267">
        <f t="shared" si="102"/>
        <v>1590.382278132087</v>
      </c>
      <c r="Q635" s="273">
        <f t="shared" si="103"/>
        <v>357.6769743519064</v>
      </c>
      <c r="S635" s="80"/>
      <c r="T635" s="80"/>
    </row>
    <row r="636" spans="1:20" ht="12.75">
      <c r="A636" s="939"/>
      <c r="B636" s="219">
        <v>6</v>
      </c>
      <c r="C636" s="256" t="s">
        <v>603</v>
      </c>
      <c r="D636" s="219">
        <v>45</v>
      </c>
      <c r="E636" s="219" t="s">
        <v>113</v>
      </c>
      <c r="F636" s="325">
        <f t="shared" si="99"/>
        <v>91</v>
      </c>
      <c r="G636" s="270">
        <v>3.8760000000000003</v>
      </c>
      <c r="H636" s="270">
        <v>7.2</v>
      </c>
      <c r="I636" s="270">
        <v>79.92399999999999</v>
      </c>
      <c r="J636" s="261">
        <v>2994.4</v>
      </c>
      <c r="K636" s="272">
        <v>79.92399999999999</v>
      </c>
      <c r="L636" s="261">
        <v>2994.4</v>
      </c>
      <c r="M636" s="272">
        <f t="shared" si="100"/>
        <v>0.026691156826075337</v>
      </c>
      <c r="N636" s="271">
        <v>224.9</v>
      </c>
      <c r="O636" s="271">
        <f t="shared" si="101"/>
        <v>6.002841170184343</v>
      </c>
      <c r="P636" s="267">
        <f t="shared" si="102"/>
        <v>1601.4694095645202</v>
      </c>
      <c r="Q636" s="273">
        <f t="shared" si="103"/>
        <v>360.1704702110606</v>
      </c>
      <c r="S636" s="80"/>
      <c r="T636" s="80"/>
    </row>
    <row r="637" spans="1:20" ht="12.75">
      <c r="A637" s="939"/>
      <c r="B637" s="219">
        <v>7</v>
      </c>
      <c r="C637" s="256" t="s">
        <v>604</v>
      </c>
      <c r="D637" s="219">
        <v>22</v>
      </c>
      <c r="E637" s="262" t="s">
        <v>113</v>
      </c>
      <c r="F637" s="325">
        <f t="shared" si="99"/>
        <v>39.483</v>
      </c>
      <c r="G637" s="270">
        <v>2.091</v>
      </c>
      <c r="H637" s="270">
        <v>3.37</v>
      </c>
      <c r="I637" s="270">
        <v>34.022</v>
      </c>
      <c r="J637" s="261">
        <v>1270.42</v>
      </c>
      <c r="K637" s="272">
        <v>34.022</v>
      </c>
      <c r="L637" s="261">
        <v>1270.42</v>
      </c>
      <c r="M637" s="272">
        <f t="shared" si="100"/>
        <v>0.02678011996032808</v>
      </c>
      <c r="N637" s="267">
        <v>224.9</v>
      </c>
      <c r="O637" s="271">
        <f t="shared" si="101"/>
        <v>6.022848979077785</v>
      </c>
      <c r="P637" s="267">
        <f t="shared" si="102"/>
        <v>1606.8071976196848</v>
      </c>
      <c r="Q637" s="273">
        <f t="shared" si="103"/>
        <v>361.3709387446671</v>
      </c>
      <c r="S637" s="80"/>
      <c r="T637" s="80"/>
    </row>
    <row r="638" spans="1:20" ht="12.75">
      <c r="A638" s="939"/>
      <c r="B638" s="219">
        <v>8</v>
      </c>
      <c r="C638" s="256" t="s">
        <v>605</v>
      </c>
      <c r="D638" s="219">
        <v>44</v>
      </c>
      <c r="E638" s="219" t="s">
        <v>113</v>
      </c>
      <c r="F638" s="325">
        <f t="shared" si="99"/>
        <v>50.288999999999994</v>
      </c>
      <c r="G638" s="270">
        <v>0</v>
      </c>
      <c r="H638" s="270">
        <v>0</v>
      </c>
      <c r="I638" s="270">
        <v>50.288999999999994</v>
      </c>
      <c r="J638" s="261">
        <v>1876.15</v>
      </c>
      <c r="K638" s="272">
        <v>50.288999999999994</v>
      </c>
      <c r="L638" s="261">
        <v>1876.15</v>
      </c>
      <c r="M638" s="272">
        <f t="shared" si="100"/>
        <v>0.026804359992537906</v>
      </c>
      <c r="N638" s="271">
        <v>224.9</v>
      </c>
      <c r="O638" s="271">
        <f t="shared" si="101"/>
        <v>6.028300562321776</v>
      </c>
      <c r="P638" s="267">
        <f t="shared" si="102"/>
        <v>1608.2615995522744</v>
      </c>
      <c r="Q638" s="273">
        <f t="shared" si="103"/>
        <v>361.69803373930654</v>
      </c>
      <c r="S638" s="80"/>
      <c r="T638" s="80"/>
    </row>
    <row r="639" spans="1:20" ht="12.75">
      <c r="A639" s="939"/>
      <c r="B639" s="219">
        <v>9</v>
      </c>
      <c r="C639" s="256" t="s">
        <v>606</v>
      </c>
      <c r="D639" s="219">
        <v>61</v>
      </c>
      <c r="E639" s="262" t="s">
        <v>113</v>
      </c>
      <c r="F639" s="325">
        <f t="shared" si="99"/>
        <v>77.068</v>
      </c>
      <c r="G639" s="270">
        <v>3.7230000000000003</v>
      </c>
      <c r="H639" s="270">
        <v>9.77</v>
      </c>
      <c r="I639" s="270">
        <v>63.575</v>
      </c>
      <c r="J639" s="261">
        <v>2361.93</v>
      </c>
      <c r="K639" s="272">
        <v>63.575</v>
      </c>
      <c r="L639" s="261">
        <v>2361.93</v>
      </c>
      <c r="M639" s="272">
        <f t="shared" si="100"/>
        <v>0.026916547061089875</v>
      </c>
      <c r="N639" s="267">
        <v>224.9</v>
      </c>
      <c r="O639" s="271">
        <f t="shared" si="101"/>
        <v>6.053531434039113</v>
      </c>
      <c r="P639" s="267">
        <f t="shared" si="102"/>
        <v>1614.9928236653925</v>
      </c>
      <c r="Q639" s="273">
        <f t="shared" si="103"/>
        <v>363.21188604234675</v>
      </c>
      <c r="S639" s="80"/>
      <c r="T639" s="80"/>
    </row>
    <row r="640" spans="1:20" ht="13.5" thickBot="1">
      <c r="A640" s="941"/>
      <c r="B640" s="232">
        <v>10</v>
      </c>
      <c r="C640" s="258" t="s">
        <v>607</v>
      </c>
      <c r="D640" s="232">
        <v>36</v>
      </c>
      <c r="E640" s="232" t="s">
        <v>113</v>
      </c>
      <c r="F640" s="274">
        <f t="shared" si="99"/>
        <v>72.24000000000001</v>
      </c>
      <c r="G640" s="274">
        <v>3.264</v>
      </c>
      <c r="H640" s="274">
        <v>5.76</v>
      </c>
      <c r="I640" s="274">
        <v>63.21600000000001</v>
      </c>
      <c r="J640" s="263">
        <v>2342.66</v>
      </c>
      <c r="K640" s="276">
        <v>63.21600000000001</v>
      </c>
      <c r="L640" s="263">
        <v>2342.66</v>
      </c>
      <c r="M640" s="276">
        <f t="shared" si="100"/>
        <v>0.02698470968898603</v>
      </c>
      <c r="N640" s="275">
        <v>224.9</v>
      </c>
      <c r="O640" s="275">
        <f t="shared" si="101"/>
        <v>6.068861209052958</v>
      </c>
      <c r="P640" s="275">
        <f t="shared" si="102"/>
        <v>1619.0825813391618</v>
      </c>
      <c r="Q640" s="277">
        <f t="shared" si="103"/>
        <v>364.1316725431775</v>
      </c>
      <c r="S640" s="80"/>
      <c r="T640" s="80"/>
    </row>
    <row r="641" spans="1:20" ht="12.75">
      <c r="A641" s="901" t="s">
        <v>12</v>
      </c>
      <c r="B641" s="38">
        <v>1</v>
      </c>
      <c r="C641" s="45" t="s">
        <v>608</v>
      </c>
      <c r="D641" s="73">
        <v>29</v>
      </c>
      <c r="E641" s="73" t="s">
        <v>113</v>
      </c>
      <c r="F641" s="294">
        <f t="shared" si="99"/>
        <v>37.4</v>
      </c>
      <c r="G641" s="294">
        <v>0.502452</v>
      </c>
      <c r="H641" s="294">
        <v>0.28</v>
      </c>
      <c r="I641" s="294">
        <v>36.617548</v>
      </c>
      <c r="J641" s="332">
        <v>1288.78</v>
      </c>
      <c r="K641" s="283">
        <v>36.617548</v>
      </c>
      <c r="L641" s="332">
        <v>1288.78</v>
      </c>
      <c r="M641" s="283">
        <f t="shared" si="100"/>
        <v>0.028412566923757352</v>
      </c>
      <c r="N641" s="284">
        <v>224.9</v>
      </c>
      <c r="O641" s="284">
        <f t="shared" si="101"/>
        <v>6.389986301153028</v>
      </c>
      <c r="P641" s="290">
        <f t="shared" si="102"/>
        <v>1704.7540154254411</v>
      </c>
      <c r="Q641" s="291">
        <f t="shared" si="103"/>
        <v>383.39917806918174</v>
      </c>
      <c r="S641" s="80"/>
      <c r="T641" s="80"/>
    </row>
    <row r="642" spans="1:20" ht="12.75">
      <c r="A642" s="902"/>
      <c r="B642" s="40">
        <v>2</v>
      </c>
      <c r="C642" s="293" t="s">
        <v>609</v>
      </c>
      <c r="D642" s="73">
        <v>101</v>
      </c>
      <c r="E642" s="73" t="s">
        <v>113</v>
      </c>
      <c r="F642" s="294">
        <f t="shared" si="99"/>
        <v>98.28</v>
      </c>
      <c r="G642" s="294">
        <v>2.295</v>
      </c>
      <c r="H642" s="294">
        <v>0.84</v>
      </c>
      <c r="I642" s="294">
        <v>95.145</v>
      </c>
      <c r="J642" s="332">
        <v>3289.75</v>
      </c>
      <c r="K642" s="283">
        <v>95.145</v>
      </c>
      <c r="L642" s="332">
        <v>3289.75</v>
      </c>
      <c r="M642" s="283">
        <f t="shared" si="100"/>
        <v>0.028921650581351165</v>
      </c>
      <c r="N642" s="284">
        <v>224.9</v>
      </c>
      <c r="O642" s="284">
        <f t="shared" si="101"/>
        <v>6.504479215745877</v>
      </c>
      <c r="P642" s="284">
        <f t="shared" si="102"/>
        <v>1735.29903488107</v>
      </c>
      <c r="Q642" s="285">
        <f t="shared" si="103"/>
        <v>390.26875294475263</v>
      </c>
      <c r="S642" s="80"/>
      <c r="T642" s="80"/>
    </row>
    <row r="643" spans="1:20" ht="12.75">
      <c r="A643" s="902"/>
      <c r="B643" s="40">
        <v>3</v>
      </c>
      <c r="C643" s="45" t="s">
        <v>610</v>
      </c>
      <c r="D643" s="40">
        <v>32</v>
      </c>
      <c r="E643" s="40" t="s">
        <v>113</v>
      </c>
      <c r="F643" s="294">
        <f t="shared" si="99"/>
        <v>45.19</v>
      </c>
      <c r="G643" s="295">
        <v>2.448</v>
      </c>
      <c r="H643" s="295">
        <v>0.47</v>
      </c>
      <c r="I643" s="295">
        <v>42.272</v>
      </c>
      <c r="J643" s="297">
        <v>1420.48</v>
      </c>
      <c r="K643" s="289">
        <v>42.272</v>
      </c>
      <c r="L643" s="297">
        <v>1420.48</v>
      </c>
      <c r="M643" s="289">
        <f t="shared" si="100"/>
        <v>0.029758954719531425</v>
      </c>
      <c r="N643" s="290">
        <v>224.9</v>
      </c>
      <c r="O643" s="290">
        <f t="shared" si="101"/>
        <v>6.692788916422618</v>
      </c>
      <c r="P643" s="284">
        <f t="shared" si="102"/>
        <v>1785.5372831718855</v>
      </c>
      <c r="Q643" s="291">
        <f t="shared" si="103"/>
        <v>401.5673349853571</v>
      </c>
      <c r="S643" s="80"/>
      <c r="T643" s="80"/>
    </row>
    <row r="644" spans="1:20" ht="12.75">
      <c r="A644" s="902"/>
      <c r="B644" s="40">
        <v>4</v>
      </c>
      <c r="C644" s="45" t="s">
        <v>611</v>
      </c>
      <c r="D644" s="40">
        <v>105</v>
      </c>
      <c r="E644" s="73" t="s">
        <v>113</v>
      </c>
      <c r="F644" s="204">
        <f t="shared" si="99"/>
        <v>103.50600000000001</v>
      </c>
      <c r="G644" s="172">
        <v>1.479</v>
      </c>
      <c r="H644" s="172">
        <v>0.34</v>
      </c>
      <c r="I644" s="172">
        <v>101.68700000000001</v>
      </c>
      <c r="J644" s="297">
        <v>3413.28</v>
      </c>
      <c r="K644" s="214">
        <v>101.68700000000001</v>
      </c>
      <c r="L644" s="297">
        <v>3413.28</v>
      </c>
      <c r="M644" s="214">
        <f t="shared" si="100"/>
        <v>0.029791578774668356</v>
      </c>
      <c r="N644" s="164">
        <v>224.9</v>
      </c>
      <c r="O644" s="290">
        <f t="shared" si="101"/>
        <v>6.700126066422913</v>
      </c>
      <c r="P644" s="164">
        <f t="shared" si="102"/>
        <v>1787.4947264801012</v>
      </c>
      <c r="Q644" s="291">
        <f t="shared" si="103"/>
        <v>402.00756398537476</v>
      </c>
      <c r="S644" s="80"/>
      <c r="T644" s="80"/>
    </row>
    <row r="645" spans="1:20" ht="12.75">
      <c r="A645" s="902"/>
      <c r="B645" s="40">
        <v>5</v>
      </c>
      <c r="C645" s="45" t="s">
        <v>612</v>
      </c>
      <c r="D645" s="40">
        <v>20</v>
      </c>
      <c r="E645" s="40" t="s">
        <v>113</v>
      </c>
      <c r="F645" s="204">
        <f t="shared" si="99"/>
        <v>37.3</v>
      </c>
      <c r="G645" s="172">
        <v>1.326</v>
      </c>
      <c r="H645" s="172">
        <v>3.12</v>
      </c>
      <c r="I645" s="172">
        <v>32.854</v>
      </c>
      <c r="J645" s="297">
        <v>1076.74</v>
      </c>
      <c r="K645" s="214">
        <v>32.854</v>
      </c>
      <c r="L645" s="297">
        <v>1076.74</v>
      </c>
      <c r="M645" s="214">
        <f t="shared" si="100"/>
        <v>0.030512472834667608</v>
      </c>
      <c r="N645" s="290">
        <v>224.9</v>
      </c>
      <c r="O645" s="290">
        <f t="shared" si="101"/>
        <v>6.862255140516745</v>
      </c>
      <c r="P645" s="164">
        <f t="shared" si="102"/>
        <v>1830.7483700800565</v>
      </c>
      <c r="Q645" s="291">
        <f t="shared" si="103"/>
        <v>411.7353084310047</v>
      </c>
      <c r="S645" s="80"/>
      <c r="T645" s="80"/>
    </row>
    <row r="646" spans="1:20" ht="12.75">
      <c r="A646" s="902"/>
      <c r="B646" s="40">
        <v>6</v>
      </c>
      <c r="C646" s="45" t="s">
        <v>613</v>
      </c>
      <c r="D646" s="40">
        <v>24</v>
      </c>
      <c r="E646" s="73" t="s">
        <v>113</v>
      </c>
      <c r="F646" s="204">
        <f t="shared" si="99"/>
        <v>39.230000000000004</v>
      </c>
      <c r="G646" s="172">
        <v>1.377</v>
      </c>
      <c r="H646" s="172">
        <v>3.76</v>
      </c>
      <c r="I646" s="172">
        <v>34.093</v>
      </c>
      <c r="J646" s="297">
        <v>1107.43</v>
      </c>
      <c r="K646" s="214">
        <v>34.093</v>
      </c>
      <c r="L646" s="297">
        <v>1107.43</v>
      </c>
      <c r="M646" s="214">
        <f t="shared" si="100"/>
        <v>0.030785693000912023</v>
      </c>
      <c r="N646" s="164">
        <v>224.9</v>
      </c>
      <c r="O646" s="290">
        <f t="shared" si="101"/>
        <v>6.923702355905114</v>
      </c>
      <c r="P646" s="164">
        <f t="shared" si="102"/>
        <v>1847.1415800547213</v>
      </c>
      <c r="Q646" s="291">
        <f t="shared" si="103"/>
        <v>415.42214135430686</v>
      </c>
      <c r="S646" s="80"/>
      <c r="T646" s="80"/>
    </row>
    <row r="647" spans="1:20" ht="12.75">
      <c r="A647" s="902"/>
      <c r="B647" s="40">
        <v>7</v>
      </c>
      <c r="C647" s="45" t="s">
        <v>614</v>
      </c>
      <c r="D647" s="40">
        <v>10</v>
      </c>
      <c r="E647" s="40" t="s">
        <v>113</v>
      </c>
      <c r="F647" s="204">
        <f t="shared" si="99"/>
        <v>19.805</v>
      </c>
      <c r="G647" s="172">
        <v>0.204</v>
      </c>
      <c r="H647" s="172">
        <v>1.13</v>
      </c>
      <c r="I647" s="172">
        <v>18.471</v>
      </c>
      <c r="J647" s="297">
        <v>584.3</v>
      </c>
      <c r="K647" s="214">
        <v>18.471</v>
      </c>
      <c r="L647" s="297">
        <v>584.3</v>
      </c>
      <c r="M647" s="214">
        <f t="shared" si="100"/>
        <v>0.031612185521136406</v>
      </c>
      <c r="N647" s="290">
        <v>224.9</v>
      </c>
      <c r="O647" s="290">
        <f t="shared" si="101"/>
        <v>7.109580523703578</v>
      </c>
      <c r="P647" s="164">
        <f t="shared" si="102"/>
        <v>1896.7311312681843</v>
      </c>
      <c r="Q647" s="291">
        <f t="shared" si="103"/>
        <v>426.5748314222147</v>
      </c>
      <c r="S647" s="80"/>
      <c r="T647" s="80"/>
    </row>
    <row r="648" spans="1:20" ht="12.75">
      <c r="A648" s="902"/>
      <c r="B648" s="40">
        <v>8</v>
      </c>
      <c r="C648" s="45" t="s">
        <v>615</v>
      </c>
      <c r="D648" s="40">
        <v>109</v>
      </c>
      <c r="E648" s="73" t="s">
        <v>113</v>
      </c>
      <c r="F648" s="204">
        <f t="shared" si="99"/>
        <v>102.85</v>
      </c>
      <c r="G648" s="172">
        <v>4.378452</v>
      </c>
      <c r="H648" s="172">
        <v>16.38</v>
      </c>
      <c r="I648" s="172">
        <v>82.091548</v>
      </c>
      <c r="J648" s="297">
        <v>2560.75</v>
      </c>
      <c r="K648" s="214">
        <v>82.091548</v>
      </c>
      <c r="L648" s="297">
        <v>2560.75</v>
      </c>
      <c r="M648" s="214">
        <f t="shared" si="100"/>
        <v>0.03205761905691692</v>
      </c>
      <c r="N648" s="164">
        <v>224.9</v>
      </c>
      <c r="O648" s="290">
        <f t="shared" si="101"/>
        <v>7.209758525900615</v>
      </c>
      <c r="P648" s="164">
        <f t="shared" si="102"/>
        <v>1923.4571434150153</v>
      </c>
      <c r="Q648" s="291">
        <f t="shared" si="103"/>
        <v>432.58551155403694</v>
      </c>
      <c r="S648" s="80"/>
      <c r="T648" s="80"/>
    </row>
    <row r="649" spans="1:20" ht="12.75">
      <c r="A649" s="902"/>
      <c r="B649" s="40">
        <v>9</v>
      </c>
      <c r="C649" s="45" t="s">
        <v>616</v>
      </c>
      <c r="D649" s="40">
        <v>12</v>
      </c>
      <c r="E649" s="40" t="s">
        <v>113</v>
      </c>
      <c r="F649" s="204">
        <f t="shared" si="99"/>
        <v>19.981</v>
      </c>
      <c r="G649" s="172">
        <v>0.663</v>
      </c>
      <c r="H649" s="172">
        <v>1.92</v>
      </c>
      <c r="I649" s="172">
        <v>17.398</v>
      </c>
      <c r="J649" s="297">
        <v>540.32</v>
      </c>
      <c r="K649" s="214">
        <v>17.398</v>
      </c>
      <c r="L649" s="297">
        <v>540.32</v>
      </c>
      <c r="M649" s="214">
        <f t="shared" si="100"/>
        <v>0.032199437370447136</v>
      </c>
      <c r="N649" s="290">
        <v>224.9</v>
      </c>
      <c r="O649" s="290">
        <f t="shared" si="101"/>
        <v>7.241653464613561</v>
      </c>
      <c r="P649" s="164">
        <f t="shared" si="102"/>
        <v>1931.9662422268282</v>
      </c>
      <c r="Q649" s="291">
        <f t="shared" si="103"/>
        <v>434.49920787681367</v>
      </c>
      <c r="S649" s="80"/>
      <c r="T649" s="80"/>
    </row>
    <row r="650" spans="1:20" ht="13.5" thickBot="1">
      <c r="A650" s="903"/>
      <c r="B650" s="42">
        <v>10</v>
      </c>
      <c r="C650" s="72" t="s">
        <v>617</v>
      </c>
      <c r="D650" s="42">
        <v>24</v>
      </c>
      <c r="E650" s="42" t="s">
        <v>113</v>
      </c>
      <c r="F650" s="215">
        <f t="shared" si="99"/>
        <v>43.414</v>
      </c>
      <c r="G650" s="215">
        <v>1.275</v>
      </c>
      <c r="H650" s="215">
        <v>3.84</v>
      </c>
      <c r="I650" s="215">
        <v>38.299</v>
      </c>
      <c r="J650" s="333">
        <v>1127.22</v>
      </c>
      <c r="K650" s="217">
        <v>38.299</v>
      </c>
      <c r="L650" s="333">
        <v>1127.22</v>
      </c>
      <c r="M650" s="217">
        <f t="shared" si="100"/>
        <v>0.033976508578627065</v>
      </c>
      <c r="N650" s="216">
        <v>224.9</v>
      </c>
      <c r="O650" s="216">
        <f t="shared" si="101"/>
        <v>7.641316779333227</v>
      </c>
      <c r="P650" s="216">
        <f t="shared" si="102"/>
        <v>2038.5905147176238</v>
      </c>
      <c r="Q650" s="288">
        <f t="shared" si="103"/>
        <v>458.47900675999364</v>
      </c>
      <c r="S650" s="80"/>
      <c r="T650" s="80"/>
    </row>
    <row r="651" spans="14:20" ht="12.75">
      <c r="N651" s="698"/>
      <c r="S651" s="80"/>
      <c r="T651" s="80"/>
    </row>
    <row r="652" spans="19:20" ht="12.75">
      <c r="S652" s="80"/>
      <c r="T652" s="80"/>
    </row>
    <row r="653" spans="19:20" ht="12.75">
      <c r="S653" s="80"/>
      <c r="T653" s="80"/>
    </row>
    <row r="654" spans="3:20" ht="12.75">
      <c r="C654" s="1"/>
      <c r="D654" s="1"/>
      <c r="E654" s="1"/>
      <c r="S654" s="80"/>
      <c r="T654" s="80"/>
    </row>
    <row r="655" spans="3:20" ht="12.75">
      <c r="C655" s="1"/>
      <c r="D655" s="1"/>
      <c r="E655" s="1"/>
      <c r="S655" s="80"/>
      <c r="T655" s="80"/>
    </row>
    <row r="656" spans="1:20" s="17" customFormat="1" ht="12.75" customHeight="1">
      <c r="A656" s="992" t="s">
        <v>41</v>
      </c>
      <c r="B656" s="992"/>
      <c r="C656" s="992"/>
      <c r="D656" s="992"/>
      <c r="E656" s="992"/>
      <c r="F656" s="992"/>
      <c r="G656" s="992"/>
      <c r="H656" s="992"/>
      <c r="I656" s="992"/>
      <c r="J656" s="992"/>
      <c r="K656" s="992"/>
      <c r="L656" s="992"/>
      <c r="M656" s="992"/>
      <c r="N656" s="992"/>
      <c r="O656" s="992"/>
      <c r="P656" s="992"/>
      <c r="Q656" s="992"/>
      <c r="S656" s="80"/>
      <c r="T656" s="80"/>
    </row>
    <row r="657" spans="1:20" s="17" customFormat="1" ht="15" customHeight="1" thickBot="1">
      <c r="A657" s="980" t="s">
        <v>618</v>
      </c>
      <c r="B657" s="980"/>
      <c r="C657" s="980"/>
      <c r="D657" s="980"/>
      <c r="E657" s="980"/>
      <c r="F657" s="980"/>
      <c r="G657" s="980"/>
      <c r="H657" s="980"/>
      <c r="I657" s="980"/>
      <c r="J657" s="980"/>
      <c r="K657" s="980"/>
      <c r="L657" s="980"/>
      <c r="M657" s="980"/>
      <c r="N657" s="980"/>
      <c r="O657" s="980"/>
      <c r="P657" s="980"/>
      <c r="Q657" s="980"/>
      <c r="S657" s="80"/>
      <c r="T657" s="80"/>
    </row>
    <row r="658" spans="1:20" ht="12.75" customHeight="1">
      <c r="A658" s="998" t="s">
        <v>1</v>
      </c>
      <c r="B658" s="908" t="s">
        <v>0</v>
      </c>
      <c r="C658" s="932" t="s">
        <v>2</v>
      </c>
      <c r="D658" s="932" t="s">
        <v>3</v>
      </c>
      <c r="E658" s="932" t="s">
        <v>42</v>
      </c>
      <c r="F658" s="1002" t="s">
        <v>14</v>
      </c>
      <c r="G658" s="1002"/>
      <c r="H658" s="1002"/>
      <c r="I658" s="1002"/>
      <c r="J658" s="932" t="s">
        <v>4</v>
      </c>
      <c r="K658" s="932" t="s">
        <v>15</v>
      </c>
      <c r="L658" s="932" t="s">
        <v>5</v>
      </c>
      <c r="M658" s="932" t="s">
        <v>6</v>
      </c>
      <c r="N658" s="932" t="s">
        <v>16</v>
      </c>
      <c r="O658" s="932" t="s">
        <v>17</v>
      </c>
      <c r="P658" s="920" t="s">
        <v>25</v>
      </c>
      <c r="Q658" s="890" t="s">
        <v>26</v>
      </c>
      <c r="S658" s="80"/>
      <c r="T658" s="80"/>
    </row>
    <row r="659" spans="1:20" s="2" customFormat="1" ht="33.75">
      <c r="A659" s="999"/>
      <c r="B659" s="909"/>
      <c r="C659" s="933"/>
      <c r="D659" s="933"/>
      <c r="E659" s="933"/>
      <c r="F659" s="36" t="s">
        <v>18</v>
      </c>
      <c r="G659" s="36" t="s">
        <v>19</v>
      </c>
      <c r="H659" s="36" t="s">
        <v>32</v>
      </c>
      <c r="I659" s="36" t="s">
        <v>21</v>
      </c>
      <c r="J659" s="933"/>
      <c r="K659" s="933"/>
      <c r="L659" s="933"/>
      <c r="M659" s="933"/>
      <c r="N659" s="933"/>
      <c r="O659" s="933"/>
      <c r="P659" s="921"/>
      <c r="Q659" s="891"/>
      <c r="S659" s="80"/>
      <c r="T659" s="80"/>
    </row>
    <row r="660" spans="1:20" s="3" customFormat="1" ht="13.5" customHeight="1" thickBot="1">
      <c r="A660" s="1000"/>
      <c r="B660" s="909"/>
      <c r="C660" s="1005"/>
      <c r="D660" s="52" t="s">
        <v>7</v>
      </c>
      <c r="E660" s="52" t="s">
        <v>8</v>
      </c>
      <c r="F660" s="52" t="s">
        <v>9</v>
      </c>
      <c r="G660" s="52" t="s">
        <v>9</v>
      </c>
      <c r="H660" s="52" t="s">
        <v>9</v>
      </c>
      <c r="I660" s="52" t="s">
        <v>9</v>
      </c>
      <c r="J660" s="52" t="s">
        <v>22</v>
      </c>
      <c r="K660" s="52" t="s">
        <v>9</v>
      </c>
      <c r="L660" s="52" t="s">
        <v>22</v>
      </c>
      <c r="M660" s="52" t="s">
        <v>23</v>
      </c>
      <c r="N660" s="52" t="s">
        <v>10</v>
      </c>
      <c r="O660" s="52" t="s">
        <v>24</v>
      </c>
      <c r="P660" s="59" t="s">
        <v>27</v>
      </c>
      <c r="Q660" s="54" t="s">
        <v>28</v>
      </c>
      <c r="S660" s="80"/>
      <c r="T660" s="80"/>
    </row>
    <row r="661" spans="1:20" ht="12.75">
      <c r="A661" s="947" t="s">
        <v>11</v>
      </c>
      <c r="B661" s="30">
        <v>1</v>
      </c>
      <c r="C661" s="56" t="s">
        <v>619</v>
      </c>
      <c r="D661" s="55">
        <v>30</v>
      </c>
      <c r="E661" s="55" t="s">
        <v>620</v>
      </c>
      <c r="F661" s="135">
        <f aca="true" t="shared" si="104" ref="F661:F691">G661+H661+I661</f>
        <v>27.5697</v>
      </c>
      <c r="G661" s="235">
        <v>5.171</v>
      </c>
      <c r="H661" s="235">
        <v>4.8</v>
      </c>
      <c r="I661" s="235">
        <v>17.5987</v>
      </c>
      <c r="J661" s="86">
        <v>1717.43</v>
      </c>
      <c r="K661" s="237">
        <v>17.5987</v>
      </c>
      <c r="L661" s="86">
        <v>1717.43</v>
      </c>
      <c r="M661" s="122">
        <f aca="true" t="shared" si="105" ref="M661:M700">K661/L661</f>
        <v>0.01024711341946979</v>
      </c>
      <c r="N661" s="236">
        <v>208.5</v>
      </c>
      <c r="O661" s="574">
        <f aca="true" t="shared" si="106" ref="O661:O700">M661*N661</f>
        <v>2.136523147959451</v>
      </c>
      <c r="P661" s="574">
        <f aca="true" t="shared" si="107" ref="P661:P700">M661*1000*60</f>
        <v>614.8268051681873</v>
      </c>
      <c r="Q661" s="123">
        <f aca="true" t="shared" si="108" ref="Q661:Q700">O661*60</f>
        <v>128.19138887756705</v>
      </c>
      <c r="R661" s="6"/>
      <c r="S661" s="80"/>
      <c r="T661" s="80"/>
    </row>
    <row r="662" spans="1:20" ht="12.75">
      <c r="A662" s="964"/>
      <c r="B662" s="31">
        <v>2</v>
      </c>
      <c r="C662" s="16" t="s">
        <v>621</v>
      </c>
      <c r="D662" s="31">
        <v>20</v>
      </c>
      <c r="E662" s="31" t="s">
        <v>113</v>
      </c>
      <c r="F662" s="135">
        <f t="shared" si="104"/>
        <v>17.106</v>
      </c>
      <c r="G662" s="135">
        <v>1.785</v>
      </c>
      <c r="H662" s="135">
        <v>3.2</v>
      </c>
      <c r="I662" s="135">
        <v>12.121</v>
      </c>
      <c r="J662" s="163">
        <v>1053.14</v>
      </c>
      <c r="K662" s="122">
        <v>12.121</v>
      </c>
      <c r="L662" s="163">
        <v>1053.14</v>
      </c>
      <c r="M662" s="122">
        <f t="shared" si="105"/>
        <v>0.011509390964164309</v>
      </c>
      <c r="N662" s="236">
        <v>208.5</v>
      </c>
      <c r="O662" s="574">
        <f t="shared" si="106"/>
        <v>2.3997080160282582</v>
      </c>
      <c r="P662" s="574">
        <f t="shared" si="107"/>
        <v>690.5634578498585</v>
      </c>
      <c r="Q662" s="123">
        <f t="shared" si="108"/>
        <v>143.9824809616955</v>
      </c>
      <c r="S662" s="80"/>
      <c r="T662" s="80"/>
    </row>
    <row r="663" spans="1:20" ht="12.75">
      <c r="A663" s="964"/>
      <c r="B663" s="31">
        <v>3</v>
      </c>
      <c r="C663" s="56" t="s">
        <v>622</v>
      </c>
      <c r="D663" s="55">
        <v>22</v>
      </c>
      <c r="E663" s="55">
        <v>2009</v>
      </c>
      <c r="F663" s="135">
        <f t="shared" si="104"/>
        <v>30.4891</v>
      </c>
      <c r="G663" s="235">
        <v>2.9033</v>
      </c>
      <c r="H663" s="235">
        <v>0</v>
      </c>
      <c r="I663" s="235">
        <v>27.5858</v>
      </c>
      <c r="J663" s="86">
        <v>2302.46</v>
      </c>
      <c r="K663" s="237">
        <v>27.5858</v>
      </c>
      <c r="L663" s="86">
        <v>2302.46</v>
      </c>
      <c r="M663" s="237">
        <f t="shared" si="105"/>
        <v>0.011981011613665384</v>
      </c>
      <c r="N663" s="236">
        <v>208.5</v>
      </c>
      <c r="O663" s="574">
        <f t="shared" si="106"/>
        <v>2.4980409214492325</v>
      </c>
      <c r="P663" s="574">
        <f t="shared" si="107"/>
        <v>718.8606968199231</v>
      </c>
      <c r="Q663" s="123">
        <f t="shared" si="108"/>
        <v>149.88245528695396</v>
      </c>
      <c r="S663" s="80"/>
      <c r="T663" s="80"/>
    </row>
    <row r="664" spans="1:20" ht="12.75">
      <c r="A664" s="964"/>
      <c r="B664" s="31">
        <v>4</v>
      </c>
      <c r="C664" s="16" t="s">
        <v>623</v>
      </c>
      <c r="D664" s="55">
        <v>13</v>
      </c>
      <c r="E664" s="55">
        <v>2007</v>
      </c>
      <c r="F664" s="235">
        <f t="shared" si="104"/>
        <v>16.5024</v>
      </c>
      <c r="G664" s="235">
        <v>1.095</v>
      </c>
      <c r="H664" s="235">
        <v>2</v>
      </c>
      <c r="I664" s="235">
        <v>13.4074</v>
      </c>
      <c r="J664" s="86">
        <v>1052.22</v>
      </c>
      <c r="K664" s="237">
        <v>13.4074</v>
      </c>
      <c r="L664" s="86">
        <v>1052.22</v>
      </c>
      <c r="M664" s="237">
        <f t="shared" si="105"/>
        <v>0.012742012126741557</v>
      </c>
      <c r="N664" s="236">
        <v>208.5</v>
      </c>
      <c r="O664" s="238">
        <f t="shared" si="106"/>
        <v>2.6567095284256146</v>
      </c>
      <c r="P664" s="238">
        <f t="shared" si="107"/>
        <v>764.5207276044935</v>
      </c>
      <c r="Q664" s="570">
        <f t="shared" si="108"/>
        <v>159.40257170553687</v>
      </c>
      <c r="S664" s="80"/>
      <c r="T664" s="80"/>
    </row>
    <row r="665" spans="1:20" ht="12.75">
      <c r="A665" s="964"/>
      <c r="B665" s="31">
        <v>5</v>
      </c>
      <c r="C665" s="16" t="s">
        <v>624</v>
      </c>
      <c r="D665" s="31">
        <v>29</v>
      </c>
      <c r="E665" s="31" t="s">
        <v>113</v>
      </c>
      <c r="F665" s="380">
        <f t="shared" si="104"/>
        <v>30.615899999999996</v>
      </c>
      <c r="G665" s="380">
        <v>2.602</v>
      </c>
      <c r="H665" s="380">
        <v>4.64</v>
      </c>
      <c r="I665" s="380">
        <v>23.3739</v>
      </c>
      <c r="J665" s="384">
        <v>1637.55</v>
      </c>
      <c r="K665" s="385">
        <v>23.3739</v>
      </c>
      <c r="L665" s="384">
        <v>1637.55</v>
      </c>
      <c r="M665" s="575">
        <f t="shared" si="105"/>
        <v>0.014273701566364386</v>
      </c>
      <c r="N665" s="236">
        <v>208.5</v>
      </c>
      <c r="O665" s="827">
        <f t="shared" si="106"/>
        <v>2.9760667765869746</v>
      </c>
      <c r="P665" s="827">
        <f t="shared" si="107"/>
        <v>856.4220939818631</v>
      </c>
      <c r="Q665" s="381">
        <f t="shared" si="108"/>
        <v>178.56400659521847</v>
      </c>
      <c r="S665" s="80"/>
      <c r="T665" s="80"/>
    </row>
    <row r="666" spans="1:20" ht="12.75">
      <c r="A666" s="964"/>
      <c r="B666" s="31">
        <v>6</v>
      </c>
      <c r="C666" s="697" t="s">
        <v>625</v>
      </c>
      <c r="D666" s="696">
        <v>30</v>
      </c>
      <c r="E666" s="696" t="s">
        <v>113</v>
      </c>
      <c r="F666" s="380">
        <f t="shared" si="104"/>
        <v>32.9996</v>
      </c>
      <c r="G666" s="380">
        <v>2.629</v>
      </c>
      <c r="H666" s="380">
        <v>4.8</v>
      </c>
      <c r="I666" s="380">
        <v>25.5706</v>
      </c>
      <c r="J666" s="384">
        <v>1712.83</v>
      </c>
      <c r="K666" s="385">
        <v>25.5706</v>
      </c>
      <c r="L666" s="384">
        <v>1712.83</v>
      </c>
      <c r="M666" s="385">
        <f t="shared" si="105"/>
        <v>0.014928860423976693</v>
      </c>
      <c r="N666" s="516">
        <v>208.5</v>
      </c>
      <c r="O666" s="827">
        <f t="shared" si="106"/>
        <v>3.1126673983991404</v>
      </c>
      <c r="P666" s="827">
        <f t="shared" si="107"/>
        <v>895.7316254386016</v>
      </c>
      <c r="Q666" s="381">
        <f t="shared" si="108"/>
        <v>186.76004390394843</v>
      </c>
      <c r="S666" s="80"/>
      <c r="T666" s="80"/>
    </row>
    <row r="667" spans="1:20" ht="12.75">
      <c r="A667" s="964"/>
      <c r="B667" s="31">
        <v>7</v>
      </c>
      <c r="C667" s="16" t="s">
        <v>626</v>
      </c>
      <c r="D667" s="31">
        <v>60</v>
      </c>
      <c r="E667" s="31" t="s">
        <v>113</v>
      </c>
      <c r="F667" s="135">
        <f t="shared" si="104"/>
        <v>70.6117</v>
      </c>
      <c r="G667" s="135">
        <v>6.737</v>
      </c>
      <c r="H667" s="135">
        <v>9.6</v>
      </c>
      <c r="I667" s="135">
        <v>54.2747</v>
      </c>
      <c r="J667" s="163">
        <v>3137.37</v>
      </c>
      <c r="K667" s="122">
        <v>54.2747</v>
      </c>
      <c r="L667" s="163">
        <v>3137.37</v>
      </c>
      <c r="M667" s="122">
        <f t="shared" si="105"/>
        <v>0.017299425952310377</v>
      </c>
      <c r="N667" s="121">
        <v>208.5</v>
      </c>
      <c r="O667" s="574">
        <f t="shared" si="106"/>
        <v>3.6069303110567135</v>
      </c>
      <c r="P667" s="574">
        <f t="shared" si="107"/>
        <v>1037.9655571386224</v>
      </c>
      <c r="Q667" s="123">
        <f t="shared" si="108"/>
        <v>216.4158186634028</v>
      </c>
      <c r="S667" s="80"/>
      <c r="T667" s="80"/>
    </row>
    <row r="668" spans="1:20" ht="12.75">
      <c r="A668" s="964"/>
      <c r="B668" s="31">
        <v>8</v>
      </c>
      <c r="C668" s="56" t="s">
        <v>627</v>
      </c>
      <c r="D668" s="55">
        <v>50</v>
      </c>
      <c r="E668" s="55" t="s">
        <v>113</v>
      </c>
      <c r="F668" s="135">
        <f t="shared" si="104"/>
        <v>58.653400000000005</v>
      </c>
      <c r="G668" s="235">
        <v>4.075</v>
      </c>
      <c r="H668" s="235">
        <v>7.92</v>
      </c>
      <c r="I668" s="235">
        <v>46.6584</v>
      </c>
      <c r="J668" s="86">
        <v>2596.6</v>
      </c>
      <c r="K668" s="385">
        <v>46.6584</v>
      </c>
      <c r="L668" s="86">
        <v>2596.6</v>
      </c>
      <c r="M668" s="237">
        <f t="shared" si="105"/>
        <v>0.017969036432257567</v>
      </c>
      <c r="N668" s="236">
        <v>208.5</v>
      </c>
      <c r="O668" s="574">
        <f t="shared" si="106"/>
        <v>3.7465440961257026</v>
      </c>
      <c r="P668" s="574">
        <f t="shared" si="107"/>
        <v>1078.142185935454</v>
      </c>
      <c r="Q668" s="123">
        <f t="shared" si="108"/>
        <v>224.79264576754215</v>
      </c>
      <c r="S668" s="80"/>
      <c r="T668" s="80"/>
    </row>
    <row r="669" spans="1:20" ht="12.75">
      <c r="A669" s="964"/>
      <c r="B669" s="31">
        <v>9</v>
      </c>
      <c r="C669" s="16" t="s">
        <v>628</v>
      </c>
      <c r="D669" s="31">
        <v>60</v>
      </c>
      <c r="E669" s="31" t="s">
        <v>113</v>
      </c>
      <c r="F669" s="135">
        <f t="shared" si="104"/>
        <v>74.33930000000001</v>
      </c>
      <c r="G669" s="135">
        <v>6.699</v>
      </c>
      <c r="H669" s="135">
        <v>9.6</v>
      </c>
      <c r="I669" s="135">
        <v>58.0403</v>
      </c>
      <c r="J669" s="163">
        <v>3136.98</v>
      </c>
      <c r="K669" s="122">
        <v>58.0403</v>
      </c>
      <c r="L669" s="163">
        <v>3136.98</v>
      </c>
      <c r="M669" s="237">
        <f t="shared" si="105"/>
        <v>0.018501966859846095</v>
      </c>
      <c r="N669" s="236">
        <v>208.5</v>
      </c>
      <c r="O669" s="574">
        <f t="shared" si="106"/>
        <v>3.857660090277911</v>
      </c>
      <c r="P669" s="574">
        <f t="shared" si="107"/>
        <v>1110.1180115907657</v>
      </c>
      <c r="Q669" s="123">
        <f t="shared" si="108"/>
        <v>231.45960541667466</v>
      </c>
      <c r="S669" s="80"/>
      <c r="T669" s="80"/>
    </row>
    <row r="670" spans="1:20" s="88" customFormat="1" ht="13.5" thickBot="1">
      <c r="A670" s="965"/>
      <c r="B670" s="94">
        <v>10</v>
      </c>
      <c r="C670" s="58" t="s">
        <v>629</v>
      </c>
      <c r="D670" s="57">
        <v>100</v>
      </c>
      <c r="E670" s="57" t="s">
        <v>113</v>
      </c>
      <c r="F670" s="203">
        <f t="shared" si="104"/>
        <v>92.465</v>
      </c>
      <c r="G670" s="203">
        <v>7.537</v>
      </c>
      <c r="H670" s="203">
        <v>16</v>
      </c>
      <c r="I670" s="203">
        <v>68.928</v>
      </c>
      <c r="J670" s="311">
        <v>3692.95</v>
      </c>
      <c r="K670" s="125">
        <v>68.928</v>
      </c>
      <c r="L670" s="311">
        <v>3692.95</v>
      </c>
      <c r="M670" s="125">
        <f t="shared" si="105"/>
        <v>0.018664753110656792</v>
      </c>
      <c r="N670" s="124">
        <v>208.5</v>
      </c>
      <c r="O670" s="425">
        <f t="shared" si="106"/>
        <v>3.891601023571941</v>
      </c>
      <c r="P670" s="425">
        <f t="shared" si="107"/>
        <v>1119.8851866394075</v>
      </c>
      <c r="Q670" s="126">
        <f t="shared" si="108"/>
        <v>233.49606141431644</v>
      </c>
      <c r="S670" s="80"/>
      <c r="T670" s="80"/>
    </row>
    <row r="671" spans="1:20" ht="12.75">
      <c r="A671" s="925" t="s">
        <v>29</v>
      </c>
      <c r="B671" s="33">
        <v>1</v>
      </c>
      <c r="C671" s="81" t="s">
        <v>630</v>
      </c>
      <c r="D671" s="60">
        <v>40</v>
      </c>
      <c r="E671" s="60">
        <v>1993</v>
      </c>
      <c r="F671" s="252">
        <f t="shared" si="104"/>
        <v>53.7808</v>
      </c>
      <c r="G671" s="252">
        <v>5.697</v>
      </c>
      <c r="H671" s="252">
        <v>6.4</v>
      </c>
      <c r="I671" s="252">
        <v>41.6838</v>
      </c>
      <c r="J671" s="113">
        <v>2229.96</v>
      </c>
      <c r="K671" s="136">
        <v>41.6838</v>
      </c>
      <c r="L671" s="113">
        <v>2229.96</v>
      </c>
      <c r="M671" s="136">
        <f t="shared" si="105"/>
        <v>0.018692622289189043</v>
      </c>
      <c r="N671" s="137">
        <v>208.5</v>
      </c>
      <c r="O671" s="517">
        <f t="shared" si="106"/>
        <v>3.8974117472959153</v>
      </c>
      <c r="P671" s="517">
        <f t="shared" si="107"/>
        <v>1121.5573373513425</v>
      </c>
      <c r="Q671" s="518">
        <f t="shared" si="108"/>
        <v>233.84470483775493</v>
      </c>
      <c r="S671" s="80"/>
      <c r="T671" s="80"/>
    </row>
    <row r="672" spans="1:20" ht="12.75">
      <c r="A672" s="926"/>
      <c r="B672" s="35">
        <v>2</v>
      </c>
      <c r="C672" s="34" t="s">
        <v>631</v>
      </c>
      <c r="D672" s="35">
        <v>9</v>
      </c>
      <c r="E672" s="35" t="s">
        <v>113</v>
      </c>
      <c r="F672" s="248">
        <f t="shared" si="104"/>
        <v>15.152700000000001</v>
      </c>
      <c r="G672" s="248">
        <v>2.021</v>
      </c>
      <c r="H672" s="248">
        <v>1.44</v>
      </c>
      <c r="I672" s="248">
        <v>11.6917</v>
      </c>
      <c r="J672" s="110">
        <v>624.82</v>
      </c>
      <c r="K672" s="128">
        <v>11.6917</v>
      </c>
      <c r="L672" s="110">
        <v>624.82</v>
      </c>
      <c r="M672" s="136">
        <f t="shared" si="105"/>
        <v>0.018712109087417175</v>
      </c>
      <c r="N672" s="137">
        <v>208.5</v>
      </c>
      <c r="O672" s="421">
        <f t="shared" si="106"/>
        <v>3.9014747447264813</v>
      </c>
      <c r="P672" s="421">
        <f t="shared" si="107"/>
        <v>1122.7265452450306</v>
      </c>
      <c r="Q672" s="155">
        <f t="shared" si="108"/>
        <v>234.0884846835889</v>
      </c>
      <c r="S672" s="80"/>
      <c r="T672" s="80"/>
    </row>
    <row r="673" spans="1:20" s="88" customFormat="1" ht="12.75">
      <c r="A673" s="926"/>
      <c r="B673" s="95">
        <v>3</v>
      </c>
      <c r="C673" s="34" t="s">
        <v>632</v>
      </c>
      <c r="D673" s="35">
        <v>20</v>
      </c>
      <c r="E673" s="35" t="s">
        <v>113</v>
      </c>
      <c r="F673" s="248">
        <f t="shared" si="104"/>
        <v>26.999</v>
      </c>
      <c r="G673" s="248">
        <v>2.739</v>
      </c>
      <c r="H673" s="248">
        <v>3.2</v>
      </c>
      <c r="I673" s="248">
        <v>21.06</v>
      </c>
      <c r="J673" s="110">
        <v>1116.28</v>
      </c>
      <c r="K673" s="128">
        <v>21.06</v>
      </c>
      <c r="L673" s="110">
        <v>1116.28</v>
      </c>
      <c r="M673" s="128">
        <f t="shared" si="105"/>
        <v>0.018866234278138102</v>
      </c>
      <c r="N673" s="137">
        <v>208.5</v>
      </c>
      <c r="O673" s="517">
        <f t="shared" si="106"/>
        <v>3.933609846991794</v>
      </c>
      <c r="P673" s="517">
        <f t="shared" si="107"/>
        <v>1131.974056688286</v>
      </c>
      <c r="Q673" s="518">
        <f t="shared" si="108"/>
        <v>236.01659081950766</v>
      </c>
      <c r="S673" s="80"/>
      <c r="T673" s="80"/>
    </row>
    <row r="674" spans="1:20" ht="12.75">
      <c r="A674" s="926"/>
      <c r="B674" s="35">
        <v>4</v>
      </c>
      <c r="C674" s="34" t="s">
        <v>633</v>
      </c>
      <c r="D674" s="35">
        <v>100</v>
      </c>
      <c r="E674" s="35" t="s">
        <v>113</v>
      </c>
      <c r="F674" s="248">
        <f t="shared" si="104"/>
        <v>94.6925</v>
      </c>
      <c r="G674" s="248">
        <v>8.836</v>
      </c>
      <c r="H674" s="248">
        <v>16</v>
      </c>
      <c r="I674" s="248">
        <v>69.8565</v>
      </c>
      <c r="J674" s="110">
        <v>3686.89</v>
      </c>
      <c r="K674" s="128">
        <v>69.8565</v>
      </c>
      <c r="L674" s="110">
        <v>3686.89</v>
      </c>
      <c r="M674" s="128">
        <f t="shared" si="105"/>
        <v>0.018947269921261552</v>
      </c>
      <c r="N674" s="137">
        <v>208.5</v>
      </c>
      <c r="O674" s="421">
        <f t="shared" si="106"/>
        <v>3.9505057785830338</v>
      </c>
      <c r="P674" s="421">
        <f t="shared" si="107"/>
        <v>1136.8361952756932</v>
      </c>
      <c r="Q674" s="155">
        <f t="shared" si="108"/>
        <v>237.03034671498202</v>
      </c>
      <c r="S674" s="80"/>
      <c r="T674" s="80"/>
    </row>
    <row r="675" spans="1:20" ht="12.75">
      <c r="A675" s="926"/>
      <c r="B675" s="35">
        <v>5</v>
      </c>
      <c r="C675" s="34" t="s">
        <v>634</v>
      </c>
      <c r="D675" s="35">
        <v>30</v>
      </c>
      <c r="E675" s="35" t="s">
        <v>113</v>
      </c>
      <c r="F675" s="525">
        <f t="shared" si="104"/>
        <v>41.6063</v>
      </c>
      <c r="G675" s="248">
        <v>3.697</v>
      </c>
      <c r="H675" s="248">
        <v>4.8</v>
      </c>
      <c r="I675" s="248">
        <v>33.1093</v>
      </c>
      <c r="J675" s="110">
        <v>1714.8</v>
      </c>
      <c r="K675" s="128">
        <v>33.1093</v>
      </c>
      <c r="L675" s="110">
        <v>1714.8</v>
      </c>
      <c r="M675" s="128">
        <f t="shared" si="105"/>
        <v>0.01930796594355027</v>
      </c>
      <c r="N675" s="137">
        <v>208.5</v>
      </c>
      <c r="O675" s="517">
        <f t="shared" si="106"/>
        <v>4.025710899230231</v>
      </c>
      <c r="P675" s="517">
        <f t="shared" si="107"/>
        <v>1158.4779566130162</v>
      </c>
      <c r="Q675" s="518">
        <f t="shared" si="108"/>
        <v>241.54265395381384</v>
      </c>
      <c r="S675" s="80"/>
      <c r="T675" s="80"/>
    </row>
    <row r="676" spans="1:20" ht="12.75">
      <c r="A676" s="926"/>
      <c r="B676" s="35">
        <v>6</v>
      </c>
      <c r="C676" s="34" t="s">
        <v>635</v>
      </c>
      <c r="D676" s="35">
        <v>30</v>
      </c>
      <c r="E676" s="35" t="s">
        <v>113</v>
      </c>
      <c r="F676" s="248">
        <f t="shared" si="104"/>
        <v>40.9702</v>
      </c>
      <c r="G676" s="248">
        <v>2.437</v>
      </c>
      <c r="H676" s="248">
        <v>4.8</v>
      </c>
      <c r="I676" s="248">
        <v>33.7332</v>
      </c>
      <c r="J676" s="110">
        <v>1737.38</v>
      </c>
      <c r="K676" s="128">
        <v>33.7332</v>
      </c>
      <c r="L676" s="110">
        <v>1737.38</v>
      </c>
      <c r="M676" s="128">
        <f t="shared" si="105"/>
        <v>0.019416132337197387</v>
      </c>
      <c r="N676" s="137">
        <v>208.5</v>
      </c>
      <c r="O676" s="421">
        <f t="shared" si="106"/>
        <v>4.048263592305656</v>
      </c>
      <c r="P676" s="421">
        <f t="shared" si="107"/>
        <v>1164.9679402318432</v>
      </c>
      <c r="Q676" s="155">
        <f t="shared" si="108"/>
        <v>242.89581553833932</v>
      </c>
      <c r="S676" s="80"/>
      <c r="T676" s="80"/>
    </row>
    <row r="677" spans="1:20" ht="12.75">
      <c r="A677" s="926"/>
      <c r="B677" s="35">
        <v>7</v>
      </c>
      <c r="C677" s="34" t="s">
        <v>636</v>
      </c>
      <c r="D677" s="35">
        <v>29</v>
      </c>
      <c r="E677" s="35" t="s">
        <v>113</v>
      </c>
      <c r="F677" s="525">
        <f t="shared" si="104"/>
        <v>39.2104</v>
      </c>
      <c r="G677" s="248">
        <v>3.615</v>
      </c>
      <c r="H677" s="248">
        <v>4.64</v>
      </c>
      <c r="I677" s="248">
        <v>30.9554</v>
      </c>
      <c r="J677" s="110">
        <v>1561.03</v>
      </c>
      <c r="K677" s="128">
        <v>30.9554</v>
      </c>
      <c r="L677" s="110">
        <v>1561.03</v>
      </c>
      <c r="M677" s="128">
        <f t="shared" si="105"/>
        <v>0.019830112169529093</v>
      </c>
      <c r="N677" s="137">
        <v>208.5</v>
      </c>
      <c r="O677" s="517">
        <f t="shared" si="106"/>
        <v>4.134578387346815</v>
      </c>
      <c r="P677" s="517">
        <f t="shared" si="107"/>
        <v>1189.8067301717454</v>
      </c>
      <c r="Q677" s="518">
        <f t="shared" si="108"/>
        <v>248.07470324080893</v>
      </c>
      <c r="S677" s="80"/>
      <c r="T677" s="80"/>
    </row>
    <row r="678" spans="1:20" ht="12.75">
      <c r="A678" s="926"/>
      <c r="B678" s="35">
        <v>8</v>
      </c>
      <c r="C678" s="34" t="s">
        <v>637</v>
      </c>
      <c r="D678" s="35">
        <v>30</v>
      </c>
      <c r="E678" s="35" t="s">
        <v>113</v>
      </c>
      <c r="F678" s="248">
        <f t="shared" si="104"/>
        <v>42.0662</v>
      </c>
      <c r="G678" s="248">
        <v>3.001</v>
      </c>
      <c r="H678" s="248">
        <v>4.8</v>
      </c>
      <c r="I678" s="248">
        <v>34.2652</v>
      </c>
      <c r="J678" s="110">
        <v>1714.66</v>
      </c>
      <c r="K678" s="128">
        <v>34.2652</v>
      </c>
      <c r="L678" s="110">
        <v>1714.66</v>
      </c>
      <c r="M678" s="128">
        <f t="shared" si="105"/>
        <v>0.019983670231999345</v>
      </c>
      <c r="N678" s="137">
        <v>208.5</v>
      </c>
      <c r="O678" s="421">
        <f t="shared" si="106"/>
        <v>4.166595243371863</v>
      </c>
      <c r="P678" s="421">
        <f t="shared" si="107"/>
        <v>1199.0202139199607</v>
      </c>
      <c r="Q678" s="155">
        <f t="shared" si="108"/>
        <v>249.99571460231178</v>
      </c>
      <c r="S678" s="80"/>
      <c r="T678" s="80"/>
    </row>
    <row r="679" spans="1:20" ht="12.75">
      <c r="A679" s="926"/>
      <c r="B679" s="35">
        <v>9</v>
      </c>
      <c r="C679" s="34" t="s">
        <v>638</v>
      </c>
      <c r="D679" s="35">
        <v>40</v>
      </c>
      <c r="E679" s="35" t="s">
        <v>113</v>
      </c>
      <c r="F679" s="248">
        <f t="shared" si="104"/>
        <v>58.3587</v>
      </c>
      <c r="G679" s="248">
        <v>5.779</v>
      </c>
      <c r="H679" s="248">
        <v>6.4</v>
      </c>
      <c r="I679" s="248">
        <v>46.1797</v>
      </c>
      <c r="J679" s="110">
        <v>2293.39</v>
      </c>
      <c r="K679" s="128">
        <v>46.1797</v>
      </c>
      <c r="L679" s="110">
        <v>2293.39</v>
      </c>
      <c r="M679" s="128">
        <f t="shared" si="105"/>
        <v>0.020135999546522832</v>
      </c>
      <c r="N679" s="137">
        <v>208.5</v>
      </c>
      <c r="O679" s="421">
        <f t="shared" si="106"/>
        <v>4.19835590545001</v>
      </c>
      <c r="P679" s="421">
        <f t="shared" si="107"/>
        <v>1208.15997279137</v>
      </c>
      <c r="Q679" s="155">
        <f t="shared" si="108"/>
        <v>251.90135432700063</v>
      </c>
      <c r="S679" s="80"/>
      <c r="T679" s="80"/>
    </row>
    <row r="680" spans="1:20" ht="13.5" thickBot="1">
      <c r="A680" s="927"/>
      <c r="B680" s="35">
        <v>10</v>
      </c>
      <c r="C680" s="641" t="s">
        <v>639</v>
      </c>
      <c r="D680" s="37">
        <v>30</v>
      </c>
      <c r="E680" s="37" t="s">
        <v>113</v>
      </c>
      <c r="F680" s="252">
        <f t="shared" si="104"/>
        <v>42.875600000000006</v>
      </c>
      <c r="G680" s="250">
        <v>3.177</v>
      </c>
      <c r="H680" s="250">
        <v>4.8</v>
      </c>
      <c r="I680" s="250">
        <v>34.8986</v>
      </c>
      <c r="J680" s="171">
        <v>1726.08</v>
      </c>
      <c r="K680" s="205">
        <v>34.8986</v>
      </c>
      <c r="L680" s="171">
        <v>1726.08</v>
      </c>
      <c r="M680" s="205">
        <f t="shared" si="105"/>
        <v>0.020218413978494627</v>
      </c>
      <c r="N680" s="158">
        <v>208.5</v>
      </c>
      <c r="O680" s="874">
        <f t="shared" si="106"/>
        <v>4.215539314516129</v>
      </c>
      <c r="P680" s="417">
        <f t="shared" si="107"/>
        <v>1213.1048387096776</v>
      </c>
      <c r="Q680" s="157">
        <f t="shared" si="108"/>
        <v>252.93235887096776</v>
      </c>
      <c r="S680" s="80"/>
      <c r="T680" s="80"/>
    </row>
    <row r="681" spans="1:20" ht="12.75">
      <c r="A681" s="917" t="s">
        <v>30</v>
      </c>
      <c r="B681" s="218">
        <v>1</v>
      </c>
      <c r="C681" s="254" t="s">
        <v>640</v>
      </c>
      <c r="D681" s="218">
        <v>3</v>
      </c>
      <c r="E681" s="218" t="s">
        <v>113</v>
      </c>
      <c r="F681" s="1055">
        <f t="shared" si="104"/>
        <v>5.8352</v>
      </c>
      <c r="G681" s="389">
        <v>0.399</v>
      </c>
      <c r="H681" s="389">
        <v>0.48</v>
      </c>
      <c r="I681" s="389">
        <v>4.9562</v>
      </c>
      <c r="J681" s="399">
        <v>159.37</v>
      </c>
      <c r="K681" s="409">
        <v>4.9562</v>
      </c>
      <c r="L681" s="399">
        <v>159.37</v>
      </c>
      <c r="M681" s="409">
        <f t="shared" si="105"/>
        <v>0.031098701135721905</v>
      </c>
      <c r="N681" s="267">
        <v>208.5</v>
      </c>
      <c r="O681" s="390">
        <f t="shared" si="106"/>
        <v>6.484079186798017</v>
      </c>
      <c r="P681" s="1056">
        <f t="shared" si="107"/>
        <v>1865.9220681433144</v>
      </c>
      <c r="Q681" s="1057">
        <f t="shared" si="108"/>
        <v>389.04475120788106</v>
      </c>
      <c r="S681" s="80"/>
      <c r="T681" s="80"/>
    </row>
    <row r="682" spans="1:20" ht="12.75">
      <c r="A682" s="1006"/>
      <c r="B682" s="219">
        <v>2</v>
      </c>
      <c r="C682" s="256" t="s">
        <v>641</v>
      </c>
      <c r="D682" s="219">
        <v>3</v>
      </c>
      <c r="E682" s="219" t="s">
        <v>113</v>
      </c>
      <c r="F682" s="270">
        <f t="shared" si="104"/>
        <v>6.1431000000000004</v>
      </c>
      <c r="G682" s="270">
        <v>0.399</v>
      </c>
      <c r="H682" s="270">
        <v>0.48</v>
      </c>
      <c r="I682" s="270">
        <v>5.2641</v>
      </c>
      <c r="J682" s="261">
        <v>163.32</v>
      </c>
      <c r="K682" s="272">
        <v>5.2641</v>
      </c>
      <c r="L682" s="261">
        <v>163.32</v>
      </c>
      <c r="M682" s="272">
        <f t="shared" si="105"/>
        <v>0.032231814842027924</v>
      </c>
      <c r="N682" s="267">
        <v>208.5</v>
      </c>
      <c r="O682" s="1058">
        <f t="shared" si="106"/>
        <v>6.7203333945628225</v>
      </c>
      <c r="P682" s="1058">
        <f t="shared" si="107"/>
        <v>1933.9088905216754</v>
      </c>
      <c r="Q682" s="273">
        <f t="shared" si="108"/>
        <v>403.2200036737693</v>
      </c>
      <c r="S682" s="80"/>
      <c r="T682" s="80"/>
    </row>
    <row r="683" spans="1:20" ht="12.75">
      <c r="A683" s="1006"/>
      <c r="B683" s="219"/>
      <c r="C683" s="256" t="s">
        <v>642</v>
      </c>
      <c r="D683" s="219">
        <v>6</v>
      </c>
      <c r="E683" s="219" t="s">
        <v>113</v>
      </c>
      <c r="F683" s="1059">
        <f t="shared" si="104"/>
        <v>13.0266</v>
      </c>
      <c r="G683" s="270">
        <v>1.15</v>
      </c>
      <c r="H683" s="270">
        <v>0.96</v>
      </c>
      <c r="I683" s="270">
        <v>10.9166</v>
      </c>
      <c r="J683" s="261">
        <v>337.61</v>
      </c>
      <c r="K683" s="272">
        <v>10.9166</v>
      </c>
      <c r="L683" s="261">
        <v>337.61</v>
      </c>
      <c r="M683" s="272">
        <f t="shared" si="105"/>
        <v>0.032334942685347</v>
      </c>
      <c r="N683" s="267">
        <v>208.5</v>
      </c>
      <c r="O683" s="1060">
        <f t="shared" si="106"/>
        <v>6.74183554989485</v>
      </c>
      <c r="P683" s="1060">
        <f t="shared" si="107"/>
        <v>1940.09656112082</v>
      </c>
      <c r="Q683" s="1061">
        <f t="shared" si="108"/>
        <v>404.510132993691</v>
      </c>
      <c r="S683" s="80"/>
      <c r="T683" s="80"/>
    </row>
    <row r="684" spans="1:20" ht="12.75">
      <c r="A684" s="918"/>
      <c r="B684" s="219">
        <v>3</v>
      </c>
      <c r="C684" s="256" t="s">
        <v>643</v>
      </c>
      <c r="D684" s="219">
        <v>17</v>
      </c>
      <c r="E684" s="219" t="s">
        <v>113</v>
      </c>
      <c r="F684" s="270">
        <f t="shared" si="104"/>
        <v>28.3283</v>
      </c>
      <c r="G684" s="270">
        <v>1.807</v>
      </c>
      <c r="H684" s="270">
        <v>1.18</v>
      </c>
      <c r="I684" s="270">
        <v>25.3413</v>
      </c>
      <c r="J684" s="261">
        <v>781.45</v>
      </c>
      <c r="K684" s="272">
        <v>25.3413</v>
      </c>
      <c r="L684" s="261">
        <v>781.45</v>
      </c>
      <c r="M684" s="272">
        <f t="shared" si="105"/>
        <v>0.032428562288054255</v>
      </c>
      <c r="N684" s="267">
        <v>208.5</v>
      </c>
      <c r="O684" s="1058">
        <f t="shared" si="106"/>
        <v>6.761355237059313</v>
      </c>
      <c r="P684" s="1058">
        <f t="shared" si="107"/>
        <v>1945.713737283255</v>
      </c>
      <c r="Q684" s="273">
        <f t="shared" si="108"/>
        <v>405.68131422355873</v>
      </c>
      <c r="S684" s="80"/>
      <c r="T684" s="80"/>
    </row>
    <row r="685" spans="1:20" ht="12.75">
      <c r="A685" s="918"/>
      <c r="B685" s="219">
        <v>4</v>
      </c>
      <c r="C685" s="256" t="s">
        <v>644</v>
      </c>
      <c r="D685" s="219">
        <v>4</v>
      </c>
      <c r="E685" s="219" t="s">
        <v>113</v>
      </c>
      <c r="F685" s="1059">
        <f t="shared" si="104"/>
        <v>9.2111</v>
      </c>
      <c r="G685" s="270">
        <v>0.273</v>
      </c>
      <c r="H685" s="270">
        <v>0.64</v>
      </c>
      <c r="I685" s="270">
        <v>8.2981</v>
      </c>
      <c r="J685" s="261">
        <v>254.45</v>
      </c>
      <c r="K685" s="272">
        <v>8.2981</v>
      </c>
      <c r="L685" s="261">
        <v>254.45</v>
      </c>
      <c r="M685" s="272">
        <f t="shared" si="105"/>
        <v>0.03261190803694242</v>
      </c>
      <c r="N685" s="267">
        <v>208.5</v>
      </c>
      <c r="O685" s="1060">
        <f t="shared" si="106"/>
        <v>6.799582825702495</v>
      </c>
      <c r="P685" s="1060">
        <f t="shared" si="107"/>
        <v>1956.7144822165455</v>
      </c>
      <c r="Q685" s="1061">
        <f t="shared" si="108"/>
        <v>407.97496954214967</v>
      </c>
      <c r="S685" s="80"/>
      <c r="T685" s="80"/>
    </row>
    <row r="686" spans="1:20" ht="12.75">
      <c r="A686" s="918"/>
      <c r="B686" s="219">
        <v>6</v>
      </c>
      <c r="C686" s="256" t="s">
        <v>645</v>
      </c>
      <c r="D686" s="219">
        <v>2</v>
      </c>
      <c r="E686" s="219" t="s">
        <v>113</v>
      </c>
      <c r="F686" s="270">
        <f t="shared" si="104"/>
        <v>3.8622</v>
      </c>
      <c r="G686" s="270">
        <v>0.054</v>
      </c>
      <c r="H686" s="270">
        <v>0.32</v>
      </c>
      <c r="I686" s="270">
        <v>3.4882</v>
      </c>
      <c r="J686" s="261">
        <v>105.63</v>
      </c>
      <c r="K686" s="272">
        <v>3.4882</v>
      </c>
      <c r="L686" s="261">
        <v>105.63</v>
      </c>
      <c r="M686" s="272">
        <f t="shared" si="105"/>
        <v>0.033022815488024236</v>
      </c>
      <c r="N686" s="267">
        <v>208.5</v>
      </c>
      <c r="O686" s="1058">
        <f t="shared" si="106"/>
        <v>6.8852570292530535</v>
      </c>
      <c r="P686" s="1058">
        <f t="shared" si="107"/>
        <v>1981.3689292814543</v>
      </c>
      <c r="Q686" s="273">
        <f t="shared" si="108"/>
        <v>413.1154217551832</v>
      </c>
      <c r="S686" s="80"/>
      <c r="T686" s="80"/>
    </row>
    <row r="687" spans="1:20" ht="12.75">
      <c r="A687" s="918"/>
      <c r="B687" s="219"/>
      <c r="C687" s="256" t="s">
        <v>646</v>
      </c>
      <c r="D687" s="219">
        <v>4</v>
      </c>
      <c r="E687" s="219" t="s">
        <v>113</v>
      </c>
      <c r="F687" s="1059">
        <f t="shared" si="104"/>
        <v>8.5442</v>
      </c>
      <c r="G687" s="270">
        <v>0.788</v>
      </c>
      <c r="H687" s="270">
        <v>0.64</v>
      </c>
      <c r="I687" s="270">
        <v>7.1162</v>
      </c>
      <c r="J687" s="261">
        <v>212.08</v>
      </c>
      <c r="K687" s="272">
        <v>7.1162</v>
      </c>
      <c r="L687" s="261">
        <v>212.08</v>
      </c>
      <c r="M687" s="272">
        <f t="shared" si="105"/>
        <v>0.03355431912485854</v>
      </c>
      <c r="N687" s="267">
        <v>208.5</v>
      </c>
      <c r="O687" s="1060">
        <f t="shared" si="106"/>
        <v>6.996075537533005</v>
      </c>
      <c r="P687" s="1060">
        <f t="shared" si="107"/>
        <v>2013.2591474915123</v>
      </c>
      <c r="Q687" s="1061">
        <f t="shared" si="108"/>
        <v>419.7645322519803</v>
      </c>
      <c r="S687" s="80"/>
      <c r="T687" s="80"/>
    </row>
    <row r="688" spans="1:20" ht="12.75">
      <c r="A688" s="918"/>
      <c r="B688" s="219">
        <v>7</v>
      </c>
      <c r="C688" s="256" t="s">
        <v>647</v>
      </c>
      <c r="D688" s="219">
        <v>5</v>
      </c>
      <c r="E688" s="219" t="s">
        <v>113</v>
      </c>
      <c r="F688" s="270">
        <f t="shared" si="104"/>
        <v>10.7692</v>
      </c>
      <c r="G688" s="270">
        <v>0.306</v>
      </c>
      <c r="H688" s="270">
        <v>0.8</v>
      </c>
      <c r="I688" s="270">
        <v>9.6632</v>
      </c>
      <c r="J688" s="261">
        <v>287.6</v>
      </c>
      <c r="K688" s="272">
        <v>9.6632</v>
      </c>
      <c r="L688" s="261">
        <v>287.6</v>
      </c>
      <c r="M688" s="272">
        <f t="shared" si="105"/>
        <v>0.03359944367176634</v>
      </c>
      <c r="N688" s="267">
        <v>208.5</v>
      </c>
      <c r="O688" s="1058">
        <f t="shared" si="106"/>
        <v>7.005484005563281</v>
      </c>
      <c r="P688" s="1058">
        <f t="shared" si="107"/>
        <v>2015.9666203059803</v>
      </c>
      <c r="Q688" s="273">
        <f t="shared" si="108"/>
        <v>420.3290403337969</v>
      </c>
      <c r="S688" s="80"/>
      <c r="T688" s="80"/>
    </row>
    <row r="689" spans="1:20" ht="12.75">
      <c r="A689" s="935"/>
      <c r="B689" s="231"/>
      <c r="C689" s="256" t="s">
        <v>648</v>
      </c>
      <c r="D689" s="219">
        <v>21</v>
      </c>
      <c r="E689" s="219" t="s">
        <v>113</v>
      </c>
      <c r="F689" s="270">
        <f t="shared" si="104"/>
        <v>22.794</v>
      </c>
      <c r="G689" s="270">
        <v>1.0956</v>
      </c>
      <c r="H689" s="270">
        <v>0</v>
      </c>
      <c r="I689" s="270">
        <v>21.6984</v>
      </c>
      <c r="J689" s="261">
        <v>634.03</v>
      </c>
      <c r="K689" s="272">
        <v>21.6984</v>
      </c>
      <c r="L689" s="261">
        <v>634.03</v>
      </c>
      <c r="M689" s="272">
        <f t="shared" si="105"/>
        <v>0.03422298629402394</v>
      </c>
      <c r="N689" s="267">
        <v>208.5</v>
      </c>
      <c r="O689" s="1058">
        <f t="shared" si="106"/>
        <v>7.1354926423039915</v>
      </c>
      <c r="P689" s="1058">
        <f t="shared" si="107"/>
        <v>2053.3791776414364</v>
      </c>
      <c r="Q689" s="273">
        <f t="shared" si="108"/>
        <v>428.1295585382395</v>
      </c>
      <c r="S689" s="80"/>
      <c r="T689" s="80"/>
    </row>
    <row r="690" spans="1:20" ht="13.5" thickBot="1">
      <c r="A690" s="919"/>
      <c r="B690" s="232">
        <v>10</v>
      </c>
      <c r="C690" s="258" t="s">
        <v>649</v>
      </c>
      <c r="D690" s="232">
        <v>15</v>
      </c>
      <c r="E690" s="232" t="s">
        <v>113</v>
      </c>
      <c r="F690" s="391">
        <f t="shared" si="104"/>
        <v>25.133</v>
      </c>
      <c r="G690" s="274">
        <v>1.0737</v>
      </c>
      <c r="H690" s="274">
        <v>0</v>
      </c>
      <c r="I690" s="274">
        <v>24.0593</v>
      </c>
      <c r="J690" s="263">
        <v>696.15</v>
      </c>
      <c r="K690" s="276">
        <v>24.0593</v>
      </c>
      <c r="L690" s="263">
        <v>696.15</v>
      </c>
      <c r="M690" s="272">
        <f t="shared" si="105"/>
        <v>0.034560511384040794</v>
      </c>
      <c r="N690" s="275">
        <v>208.5</v>
      </c>
      <c r="O690" s="275">
        <f t="shared" si="106"/>
        <v>7.205866623572506</v>
      </c>
      <c r="P690" s="556">
        <f t="shared" si="107"/>
        <v>2073.630683042448</v>
      </c>
      <c r="Q690" s="269">
        <f t="shared" si="108"/>
        <v>432.35199741435036</v>
      </c>
      <c r="S690" s="80"/>
      <c r="T690" s="80"/>
    </row>
    <row r="691" spans="1:20" ht="12.75">
      <c r="A691" s="928" t="s">
        <v>12</v>
      </c>
      <c r="B691" s="38">
        <v>1</v>
      </c>
      <c r="C691" s="45" t="s">
        <v>650</v>
      </c>
      <c r="D691" s="38">
        <v>9</v>
      </c>
      <c r="E691" s="38" t="s">
        <v>113</v>
      </c>
      <c r="F691" s="422">
        <f t="shared" si="104"/>
        <v>24.7032</v>
      </c>
      <c r="G691" s="394">
        <v>1.155</v>
      </c>
      <c r="H691" s="394">
        <v>1.44</v>
      </c>
      <c r="I691" s="394">
        <v>22.1082</v>
      </c>
      <c r="J691" s="334">
        <v>635.51</v>
      </c>
      <c r="K691" s="414">
        <v>22.1082</v>
      </c>
      <c r="L691" s="334">
        <v>635.51</v>
      </c>
      <c r="M691" s="414">
        <f t="shared" si="105"/>
        <v>0.034788122924894964</v>
      </c>
      <c r="N691" s="164">
        <v>208.5</v>
      </c>
      <c r="O691" s="419">
        <f t="shared" si="106"/>
        <v>7.2533236298406</v>
      </c>
      <c r="P691" s="519">
        <f t="shared" si="107"/>
        <v>2087.2873754936977</v>
      </c>
      <c r="Q691" s="520">
        <f t="shared" si="108"/>
        <v>435.19941779043603</v>
      </c>
      <c r="S691" s="80"/>
      <c r="T691" s="80"/>
    </row>
    <row r="692" spans="1:20" ht="12.75">
      <c r="A692" s="930"/>
      <c r="B692" s="40">
        <v>2</v>
      </c>
      <c r="C692" s="45" t="s">
        <v>651</v>
      </c>
      <c r="D692" s="40">
        <v>7</v>
      </c>
      <c r="E692" s="40" t="s">
        <v>113</v>
      </c>
      <c r="F692" s="172">
        <v>0.273</v>
      </c>
      <c r="G692" s="172">
        <v>0.273</v>
      </c>
      <c r="H692" s="172">
        <v>1.12</v>
      </c>
      <c r="I692" s="172">
        <v>12.0021</v>
      </c>
      <c r="J692" s="297">
        <v>337.32</v>
      </c>
      <c r="K692" s="214">
        <v>12.0021</v>
      </c>
      <c r="L692" s="297">
        <v>337.32</v>
      </c>
      <c r="M692" s="214">
        <f t="shared" si="105"/>
        <v>0.03558075418000712</v>
      </c>
      <c r="N692" s="164">
        <v>208.5</v>
      </c>
      <c r="O692" s="521">
        <f t="shared" si="106"/>
        <v>7.418587246531485</v>
      </c>
      <c r="P692" s="521">
        <f t="shared" si="107"/>
        <v>2134.845250800427</v>
      </c>
      <c r="Q692" s="291">
        <f t="shared" si="108"/>
        <v>445.11523479188907</v>
      </c>
      <c r="S692" s="80"/>
      <c r="T692" s="80"/>
    </row>
    <row r="693" spans="1:20" ht="12.75">
      <c r="A693" s="930"/>
      <c r="B693" s="40">
        <v>3</v>
      </c>
      <c r="C693" s="45" t="s">
        <v>652</v>
      </c>
      <c r="D693" s="40">
        <v>4</v>
      </c>
      <c r="E693" s="40" t="s">
        <v>113</v>
      </c>
      <c r="F693" s="526">
        <f aca="true" t="shared" si="109" ref="F693:F700">G693+H693+I693</f>
        <v>4.9641</v>
      </c>
      <c r="G693" s="172">
        <v>0.399</v>
      </c>
      <c r="H693" s="172">
        <v>0.48</v>
      </c>
      <c r="I693" s="172">
        <v>4.0851</v>
      </c>
      <c r="J693" s="297">
        <v>113.39</v>
      </c>
      <c r="K693" s="214">
        <v>4.0851</v>
      </c>
      <c r="L693" s="297">
        <v>113.39</v>
      </c>
      <c r="M693" s="214">
        <f t="shared" si="105"/>
        <v>0.03602698650674662</v>
      </c>
      <c r="N693" s="164">
        <v>208.5</v>
      </c>
      <c r="O693" s="522">
        <f t="shared" si="106"/>
        <v>7.511626686656671</v>
      </c>
      <c r="P693" s="522">
        <f t="shared" si="107"/>
        <v>2161.6191904047973</v>
      </c>
      <c r="Q693" s="523">
        <f t="shared" si="108"/>
        <v>450.69760119940025</v>
      </c>
      <c r="S693" s="80"/>
      <c r="T693" s="80"/>
    </row>
    <row r="694" spans="1:20" ht="12.75">
      <c r="A694" s="930"/>
      <c r="B694" s="40">
        <v>4</v>
      </c>
      <c r="C694" s="45" t="s">
        <v>653</v>
      </c>
      <c r="D694" s="40">
        <v>12</v>
      </c>
      <c r="E694" s="40" t="s">
        <v>113</v>
      </c>
      <c r="F694" s="172">
        <f t="shared" si="109"/>
        <v>20.481099999999998</v>
      </c>
      <c r="G694" s="172">
        <v>1.3969</v>
      </c>
      <c r="H694" s="172">
        <v>0</v>
      </c>
      <c r="I694" s="172">
        <v>19.0842</v>
      </c>
      <c r="J694" s="297">
        <v>529.6</v>
      </c>
      <c r="K694" s="214">
        <v>19.0842</v>
      </c>
      <c r="L694" s="297">
        <v>529.6</v>
      </c>
      <c r="M694" s="214">
        <f t="shared" si="105"/>
        <v>0.03603512084592145</v>
      </c>
      <c r="N694" s="164">
        <v>208.5</v>
      </c>
      <c r="O694" s="521">
        <f t="shared" si="106"/>
        <v>7.513322696374622</v>
      </c>
      <c r="P694" s="521">
        <f t="shared" si="107"/>
        <v>2162.1072507552867</v>
      </c>
      <c r="Q694" s="291">
        <f t="shared" si="108"/>
        <v>450.7993617824773</v>
      </c>
      <c r="S694" s="80"/>
      <c r="T694" s="80"/>
    </row>
    <row r="695" spans="1:20" ht="12.75">
      <c r="A695" s="930"/>
      <c r="B695" s="40">
        <v>5</v>
      </c>
      <c r="C695" s="45" t="s">
        <v>654</v>
      </c>
      <c r="D695" s="40">
        <v>48</v>
      </c>
      <c r="E695" s="40" t="s">
        <v>113</v>
      </c>
      <c r="F695" s="526">
        <f t="shared" si="109"/>
        <v>28.066</v>
      </c>
      <c r="G695" s="172">
        <v>0</v>
      </c>
      <c r="H695" s="172">
        <v>0</v>
      </c>
      <c r="I695" s="172">
        <v>28.066</v>
      </c>
      <c r="J695" s="297">
        <v>775.51</v>
      </c>
      <c r="K695" s="214">
        <v>28.066</v>
      </c>
      <c r="L695" s="297">
        <v>775.51</v>
      </c>
      <c r="M695" s="214">
        <f t="shared" si="105"/>
        <v>0.0361903779448363</v>
      </c>
      <c r="N695" s="164">
        <v>208.5</v>
      </c>
      <c r="O695" s="522">
        <f t="shared" si="106"/>
        <v>7.545693801498369</v>
      </c>
      <c r="P695" s="522">
        <f t="shared" si="107"/>
        <v>2171.422676690178</v>
      </c>
      <c r="Q695" s="523">
        <f t="shared" si="108"/>
        <v>452.7416280899021</v>
      </c>
      <c r="S695" s="80"/>
      <c r="T695" s="80"/>
    </row>
    <row r="696" spans="1:20" ht="12.75">
      <c r="A696" s="930"/>
      <c r="B696" s="40">
        <v>6</v>
      </c>
      <c r="C696" s="45" t="s">
        <v>655</v>
      </c>
      <c r="D696" s="40">
        <v>8</v>
      </c>
      <c r="E696" s="40" t="s">
        <v>113</v>
      </c>
      <c r="F696" s="172">
        <f t="shared" si="109"/>
        <v>11.411999999999999</v>
      </c>
      <c r="G696" s="172">
        <v>1.071</v>
      </c>
      <c r="H696" s="172">
        <v>0</v>
      </c>
      <c r="I696" s="172">
        <v>10.341</v>
      </c>
      <c r="J696" s="297">
        <v>285.09</v>
      </c>
      <c r="K696" s="214">
        <v>10.341</v>
      </c>
      <c r="L696" s="297">
        <v>285.09</v>
      </c>
      <c r="M696" s="214">
        <f t="shared" si="105"/>
        <v>0.03627275597179838</v>
      </c>
      <c r="N696" s="164">
        <v>208.5</v>
      </c>
      <c r="O696" s="521">
        <f t="shared" si="106"/>
        <v>7.5628696201199626</v>
      </c>
      <c r="P696" s="521">
        <f t="shared" si="107"/>
        <v>2176.365358307903</v>
      </c>
      <c r="Q696" s="291">
        <f t="shared" si="108"/>
        <v>453.7721772071977</v>
      </c>
      <c r="S696" s="80"/>
      <c r="T696" s="80"/>
    </row>
    <row r="697" spans="1:20" ht="12.75">
      <c r="A697" s="930"/>
      <c r="B697" s="40">
        <v>7</v>
      </c>
      <c r="C697" s="45" t="s">
        <v>656</v>
      </c>
      <c r="D697" s="40">
        <v>5</v>
      </c>
      <c r="E697" s="40" t="s">
        <v>113</v>
      </c>
      <c r="F697" s="526">
        <f t="shared" si="109"/>
        <v>8.399799999999999</v>
      </c>
      <c r="G697" s="172">
        <v>0.301</v>
      </c>
      <c r="H697" s="172">
        <v>0.8</v>
      </c>
      <c r="I697" s="172">
        <v>7.2988</v>
      </c>
      <c r="J697" s="297">
        <v>192.6</v>
      </c>
      <c r="K697" s="214">
        <v>7.2988</v>
      </c>
      <c r="L697" s="297">
        <v>192.6</v>
      </c>
      <c r="M697" s="214">
        <f t="shared" si="105"/>
        <v>0.03789615784008307</v>
      </c>
      <c r="N697" s="164">
        <v>208.5</v>
      </c>
      <c r="O697" s="521">
        <f t="shared" si="106"/>
        <v>7.901348909657321</v>
      </c>
      <c r="P697" s="522">
        <f t="shared" si="107"/>
        <v>2273.769470404984</v>
      </c>
      <c r="Q697" s="523">
        <f t="shared" si="108"/>
        <v>474.08093457943926</v>
      </c>
      <c r="S697" s="80"/>
      <c r="T697" s="80"/>
    </row>
    <row r="698" spans="1:20" ht="12.75">
      <c r="A698" s="930"/>
      <c r="B698" s="40">
        <v>8</v>
      </c>
      <c r="C698" s="45" t="s">
        <v>657</v>
      </c>
      <c r="D698" s="40">
        <v>5</v>
      </c>
      <c r="E698" s="40" t="s">
        <v>113</v>
      </c>
      <c r="F698" s="423">
        <f t="shared" si="109"/>
        <v>7.952</v>
      </c>
      <c r="G698" s="172">
        <v>0.4382</v>
      </c>
      <c r="H698" s="172">
        <v>0</v>
      </c>
      <c r="I698" s="172">
        <v>7.5138</v>
      </c>
      <c r="J698" s="297">
        <v>194.29</v>
      </c>
      <c r="K698" s="214">
        <v>7.5138</v>
      </c>
      <c r="L698" s="297">
        <v>194.29</v>
      </c>
      <c r="M698" s="214">
        <f t="shared" si="105"/>
        <v>0.03867311750476093</v>
      </c>
      <c r="N698" s="164">
        <v>208.5</v>
      </c>
      <c r="O698" s="521">
        <f t="shared" si="106"/>
        <v>8.063344999742654</v>
      </c>
      <c r="P698" s="521">
        <f t="shared" si="107"/>
        <v>2320.3870502856553</v>
      </c>
      <c r="Q698" s="291">
        <f t="shared" si="108"/>
        <v>483.80069998455923</v>
      </c>
      <c r="S698" s="80"/>
      <c r="T698" s="80"/>
    </row>
    <row r="699" spans="1:20" ht="12.75">
      <c r="A699" s="930"/>
      <c r="B699" s="40">
        <v>9</v>
      </c>
      <c r="C699" s="45" t="s">
        <v>658</v>
      </c>
      <c r="D699" s="40">
        <v>6</v>
      </c>
      <c r="E699" s="40" t="s">
        <v>113</v>
      </c>
      <c r="F699" s="172">
        <f t="shared" si="109"/>
        <v>12.4622</v>
      </c>
      <c r="G699" s="172">
        <v>0.547</v>
      </c>
      <c r="H699" s="172">
        <v>0.8</v>
      </c>
      <c r="I699" s="172">
        <v>11.1152</v>
      </c>
      <c r="J699" s="297">
        <v>285.14</v>
      </c>
      <c r="K699" s="214">
        <v>11.1152</v>
      </c>
      <c r="L699" s="297">
        <v>285.14</v>
      </c>
      <c r="M699" s="214">
        <f t="shared" si="105"/>
        <v>0.03898155292137196</v>
      </c>
      <c r="N699" s="164">
        <v>208.5</v>
      </c>
      <c r="O699" s="521">
        <f t="shared" si="106"/>
        <v>8.127653784106053</v>
      </c>
      <c r="P699" s="521">
        <f t="shared" si="107"/>
        <v>2338.8931752823173</v>
      </c>
      <c r="Q699" s="291">
        <f t="shared" si="108"/>
        <v>487.6592270463632</v>
      </c>
      <c r="S699" s="80"/>
      <c r="T699" s="80"/>
    </row>
    <row r="700" spans="1:20" ht="13.5" thickBot="1">
      <c r="A700" s="931"/>
      <c r="B700" s="42">
        <v>10</v>
      </c>
      <c r="C700" s="46" t="s">
        <v>659</v>
      </c>
      <c r="D700" s="42">
        <v>4</v>
      </c>
      <c r="E700" s="42" t="s">
        <v>113</v>
      </c>
      <c r="F700" s="493">
        <f t="shared" si="109"/>
        <v>7.2549</v>
      </c>
      <c r="G700" s="215">
        <v>0.219</v>
      </c>
      <c r="H700" s="215">
        <v>0.64</v>
      </c>
      <c r="I700" s="215">
        <v>6.3959</v>
      </c>
      <c r="J700" s="333">
        <v>156.81</v>
      </c>
      <c r="K700" s="217">
        <v>6.3959</v>
      </c>
      <c r="L700" s="333">
        <v>156.81</v>
      </c>
      <c r="M700" s="217">
        <f t="shared" si="105"/>
        <v>0.040787577322874816</v>
      </c>
      <c r="N700" s="216">
        <v>208.5</v>
      </c>
      <c r="O700" s="524">
        <f t="shared" si="106"/>
        <v>8.504209871819398</v>
      </c>
      <c r="P700" s="524">
        <f t="shared" si="107"/>
        <v>2447.2546393724892</v>
      </c>
      <c r="Q700" s="288">
        <f t="shared" si="108"/>
        <v>510.2525923091639</v>
      </c>
      <c r="S700" s="80"/>
      <c r="T700" s="80"/>
    </row>
    <row r="701" spans="6:20" ht="12.75">
      <c r="F701" s="360"/>
      <c r="G701" s="360"/>
      <c r="H701" s="360"/>
      <c r="I701" s="360"/>
      <c r="S701" s="80"/>
      <c r="T701" s="80"/>
    </row>
    <row r="702" spans="19:20" ht="12.75">
      <c r="S702" s="80"/>
      <c r="T702" s="80"/>
    </row>
    <row r="703" spans="1:20" ht="15">
      <c r="A703" s="907" t="s">
        <v>56</v>
      </c>
      <c r="B703" s="907"/>
      <c r="C703" s="907"/>
      <c r="D703" s="907"/>
      <c r="E703" s="907"/>
      <c r="F703" s="907"/>
      <c r="G703" s="907"/>
      <c r="H703" s="907"/>
      <c r="I703" s="907"/>
      <c r="J703" s="907"/>
      <c r="K703" s="907"/>
      <c r="L703" s="907"/>
      <c r="M703" s="907"/>
      <c r="N703" s="907"/>
      <c r="O703" s="907"/>
      <c r="P703" s="907"/>
      <c r="Q703" s="907"/>
      <c r="S703" s="80"/>
      <c r="T703" s="80"/>
    </row>
    <row r="704" spans="1:20" ht="13.5" thickBot="1">
      <c r="A704" s="894" t="s">
        <v>690</v>
      </c>
      <c r="B704" s="894"/>
      <c r="C704" s="894"/>
      <c r="D704" s="894"/>
      <c r="E704" s="894"/>
      <c r="F704" s="894"/>
      <c r="G704" s="894"/>
      <c r="H704" s="894"/>
      <c r="I704" s="894"/>
      <c r="J704" s="894"/>
      <c r="K704" s="894"/>
      <c r="L704" s="894"/>
      <c r="M704" s="894"/>
      <c r="N704" s="894"/>
      <c r="O704" s="894"/>
      <c r="P704" s="894"/>
      <c r="Q704" s="894"/>
      <c r="S704" s="80"/>
      <c r="T704" s="80"/>
    </row>
    <row r="705" spans="1:20" ht="12.75" customHeight="1">
      <c r="A705" s="885" t="s">
        <v>1</v>
      </c>
      <c r="B705" s="908" t="s">
        <v>0</v>
      </c>
      <c r="C705" s="880" t="s">
        <v>2</v>
      </c>
      <c r="D705" s="932" t="s">
        <v>3</v>
      </c>
      <c r="E705" s="932" t="s">
        <v>42</v>
      </c>
      <c r="F705" s="1002" t="s">
        <v>14</v>
      </c>
      <c r="G705" s="1002"/>
      <c r="H705" s="1002"/>
      <c r="I705" s="1002"/>
      <c r="J705" s="932" t="s">
        <v>4</v>
      </c>
      <c r="K705" s="932" t="s">
        <v>15</v>
      </c>
      <c r="L705" s="954" t="s">
        <v>5</v>
      </c>
      <c r="M705" s="932" t="s">
        <v>6</v>
      </c>
      <c r="N705" s="932" t="s">
        <v>16</v>
      </c>
      <c r="O705" s="932" t="s">
        <v>17</v>
      </c>
      <c r="P705" s="920" t="s">
        <v>25</v>
      </c>
      <c r="Q705" s="890" t="s">
        <v>26</v>
      </c>
      <c r="R705" s="2"/>
      <c r="S705" s="80"/>
      <c r="T705" s="80"/>
    </row>
    <row r="706" spans="1:20" s="2" customFormat="1" ht="45" customHeight="1">
      <c r="A706" s="886"/>
      <c r="B706" s="909"/>
      <c r="C706" s="888"/>
      <c r="D706" s="933"/>
      <c r="E706" s="933"/>
      <c r="F706" s="36" t="s">
        <v>45</v>
      </c>
      <c r="G706" s="36" t="s">
        <v>19</v>
      </c>
      <c r="H706" s="36" t="s">
        <v>20</v>
      </c>
      <c r="I706" s="36" t="s">
        <v>21</v>
      </c>
      <c r="J706" s="933"/>
      <c r="K706" s="933"/>
      <c r="L706" s="955"/>
      <c r="M706" s="933"/>
      <c r="N706" s="933"/>
      <c r="O706" s="933"/>
      <c r="P706" s="921"/>
      <c r="Q706" s="891"/>
      <c r="R706" s="3"/>
      <c r="S706" s="80"/>
      <c r="T706" s="80"/>
    </row>
    <row r="707" spans="1:20" s="3" customFormat="1" ht="13.5" customHeight="1" thickBot="1">
      <c r="A707" s="887"/>
      <c r="B707" s="910"/>
      <c r="C707" s="889"/>
      <c r="D707" s="52" t="s">
        <v>7</v>
      </c>
      <c r="E707" s="52" t="s">
        <v>8</v>
      </c>
      <c r="F707" s="52" t="s">
        <v>9</v>
      </c>
      <c r="G707" s="52" t="s">
        <v>9</v>
      </c>
      <c r="H707" s="52" t="s">
        <v>9</v>
      </c>
      <c r="I707" s="52" t="s">
        <v>9</v>
      </c>
      <c r="J707" s="52" t="s">
        <v>22</v>
      </c>
      <c r="K707" s="52" t="s">
        <v>9</v>
      </c>
      <c r="L707" s="77" t="s">
        <v>22</v>
      </c>
      <c r="M707" s="52" t="s">
        <v>23</v>
      </c>
      <c r="N707" s="52" t="s">
        <v>10</v>
      </c>
      <c r="O707" s="52" t="s">
        <v>24</v>
      </c>
      <c r="P707" s="59" t="s">
        <v>27</v>
      </c>
      <c r="Q707" s="54" t="s">
        <v>28</v>
      </c>
      <c r="R707" s="1"/>
      <c r="S707" s="80"/>
      <c r="T707" s="80"/>
    </row>
    <row r="708" spans="1:20" s="88" customFormat="1" ht="12.75" customHeight="1">
      <c r="A708" s="878" t="s">
        <v>51</v>
      </c>
      <c r="B708" s="116">
        <v>1</v>
      </c>
      <c r="C708" s="29" t="s">
        <v>660</v>
      </c>
      <c r="D708" s="30">
        <v>50</v>
      </c>
      <c r="E708" s="30">
        <v>1978</v>
      </c>
      <c r="F708" s="378">
        <v>35.34</v>
      </c>
      <c r="G708" s="578">
        <v>4.484175</v>
      </c>
      <c r="H708" s="378">
        <v>8</v>
      </c>
      <c r="I708" s="378">
        <v>22.85583</v>
      </c>
      <c r="J708" s="395">
        <v>2590.16</v>
      </c>
      <c r="K708" s="378">
        <v>22.8558</v>
      </c>
      <c r="L708" s="395">
        <v>2590.16</v>
      </c>
      <c r="M708" s="401">
        <f aca="true" t="shared" si="110" ref="M708:M713">K708/L708</f>
        <v>0.00882408808722241</v>
      </c>
      <c r="N708" s="378">
        <v>238.165</v>
      </c>
      <c r="O708" s="246">
        <f aca="true" t="shared" si="111" ref="O708:O713">M708*N708</f>
        <v>2.1015889392933254</v>
      </c>
      <c r="P708" s="246">
        <f aca="true" t="shared" si="112" ref="P708:P713">M708*1000*60</f>
        <v>529.4452852333446</v>
      </c>
      <c r="Q708" s="239">
        <f aca="true" t="shared" si="113" ref="Q708:Q713">O708*60</f>
        <v>126.09533635759952</v>
      </c>
      <c r="S708" s="80"/>
      <c r="T708" s="80"/>
    </row>
    <row r="709" spans="1:20" s="88" customFormat="1" ht="12.75" customHeight="1">
      <c r="A709" s="878"/>
      <c r="B709" s="116">
        <v>2</v>
      </c>
      <c r="C709" s="16" t="s">
        <v>661</v>
      </c>
      <c r="D709" s="31">
        <v>60</v>
      </c>
      <c r="E709" s="31">
        <v>1986</v>
      </c>
      <c r="F709" s="135">
        <v>51.2</v>
      </c>
      <c r="G709" s="135">
        <v>7.871747</v>
      </c>
      <c r="H709" s="135">
        <v>9.28</v>
      </c>
      <c r="I709" s="135">
        <v>34.37825</v>
      </c>
      <c r="J709" s="163">
        <v>3808.21</v>
      </c>
      <c r="K709" s="135">
        <v>34.3783</v>
      </c>
      <c r="L709" s="163">
        <v>3808.21</v>
      </c>
      <c r="M709" s="122">
        <f t="shared" si="110"/>
        <v>0.009027417080465627</v>
      </c>
      <c r="N709" s="135">
        <v>238.165</v>
      </c>
      <c r="O709" s="121">
        <f t="shared" si="111"/>
        <v>2.150014788969096</v>
      </c>
      <c r="P709" s="121">
        <f t="shared" si="112"/>
        <v>541.6450248279376</v>
      </c>
      <c r="Q709" s="123">
        <f t="shared" si="113"/>
        <v>129.00088733814576</v>
      </c>
      <c r="S709" s="80"/>
      <c r="T709" s="80"/>
    </row>
    <row r="710" spans="1:20" s="88" customFormat="1" ht="12.75" customHeight="1">
      <c r="A710" s="878"/>
      <c r="B710" s="116">
        <v>3</v>
      </c>
      <c r="C710" s="16" t="s">
        <v>662</v>
      </c>
      <c r="D710" s="31">
        <v>12</v>
      </c>
      <c r="E710" s="31">
        <v>1963</v>
      </c>
      <c r="F710" s="135">
        <v>7.51</v>
      </c>
      <c r="G710" s="135">
        <v>0.746437</v>
      </c>
      <c r="H710" s="135">
        <v>1.92</v>
      </c>
      <c r="I710" s="135">
        <v>4.84356</v>
      </c>
      <c r="J710" s="163">
        <v>532.45</v>
      </c>
      <c r="K710" s="135">
        <v>4.8436</v>
      </c>
      <c r="L710" s="163">
        <v>532.45</v>
      </c>
      <c r="M710" s="122">
        <f t="shared" si="110"/>
        <v>0.009096816602497887</v>
      </c>
      <c r="N710" s="135">
        <v>238.165</v>
      </c>
      <c r="O710" s="121">
        <f t="shared" si="111"/>
        <v>2.166543326133909</v>
      </c>
      <c r="P710" s="121">
        <f t="shared" si="112"/>
        <v>545.8089961498732</v>
      </c>
      <c r="Q710" s="123">
        <f t="shared" si="113"/>
        <v>129.99259956803454</v>
      </c>
      <c r="S710" s="80"/>
      <c r="T710" s="80"/>
    </row>
    <row r="711" spans="1:20" s="88" customFormat="1" ht="12.75" customHeight="1">
      <c r="A711" s="878"/>
      <c r="B711" s="116">
        <v>4</v>
      </c>
      <c r="C711" s="16" t="s">
        <v>663</v>
      </c>
      <c r="D711" s="31">
        <v>24</v>
      </c>
      <c r="E711" s="31">
        <v>1991</v>
      </c>
      <c r="F711" s="135">
        <v>17.29</v>
      </c>
      <c r="G711" s="135">
        <v>2.21544</v>
      </c>
      <c r="H711" s="135">
        <v>3.86</v>
      </c>
      <c r="I711" s="135">
        <v>11.23456</v>
      </c>
      <c r="J711" s="163">
        <v>1163.97</v>
      </c>
      <c r="K711" s="135">
        <v>11.2346</v>
      </c>
      <c r="L711" s="163">
        <v>1163.97</v>
      </c>
      <c r="M711" s="122">
        <f t="shared" si="110"/>
        <v>0.00965196697509386</v>
      </c>
      <c r="N711" s="135">
        <v>238.165</v>
      </c>
      <c r="O711" s="121">
        <f t="shared" si="111"/>
        <v>2.298760714623229</v>
      </c>
      <c r="P711" s="121">
        <f t="shared" si="112"/>
        <v>579.1180185056315</v>
      </c>
      <c r="Q711" s="123">
        <f t="shared" si="113"/>
        <v>137.92564287739376</v>
      </c>
      <c r="S711" s="80"/>
      <c r="T711" s="80"/>
    </row>
    <row r="712" spans="1:20" s="88" customFormat="1" ht="12.75" customHeight="1">
      <c r="A712" s="878"/>
      <c r="B712" s="116">
        <v>5</v>
      </c>
      <c r="C712" s="16" t="s">
        <v>664</v>
      </c>
      <c r="D712" s="31">
        <v>55</v>
      </c>
      <c r="E712" s="31">
        <v>1966</v>
      </c>
      <c r="F712" s="135">
        <v>39.66</v>
      </c>
      <c r="G712" s="135">
        <v>5.081578</v>
      </c>
      <c r="H712" s="135">
        <v>8.8</v>
      </c>
      <c r="I712" s="135">
        <v>25.7784</v>
      </c>
      <c r="J712" s="163">
        <v>2564.02</v>
      </c>
      <c r="K712" s="135">
        <v>25.7784</v>
      </c>
      <c r="L712" s="163">
        <v>2564.02</v>
      </c>
      <c r="M712" s="122">
        <f t="shared" si="110"/>
        <v>0.010053899735571485</v>
      </c>
      <c r="N712" s="135">
        <v>238.165</v>
      </c>
      <c r="O712" s="121">
        <f t="shared" si="111"/>
        <v>2.3944870305223827</v>
      </c>
      <c r="P712" s="121">
        <f t="shared" si="112"/>
        <v>603.2339841342891</v>
      </c>
      <c r="Q712" s="121">
        <f t="shared" si="113"/>
        <v>143.66922183134295</v>
      </c>
      <c r="S712" s="80"/>
      <c r="T712" s="80"/>
    </row>
    <row r="713" spans="1:20" s="88" customFormat="1" ht="12.75" customHeight="1">
      <c r="A713" s="878"/>
      <c r="B713" s="116">
        <v>6</v>
      </c>
      <c r="C713" s="16" t="s">
        <v>665</v>
      </c>
      <c r="D713" s="31">
        <v>12</v>
      </c>
      <c r="E713" s="31">
        <v>1962</v>
      </c>
      <c r="F713" s="135">
        <v>9.12</v>
      </c>
      <c r="G713" s="135">
        <v>0.796154</v>
      </c>
      <c r="H713" s="135">
        <v>1.92</v>
      </c>
      <c r="I713" s="135">
        <v>6.40385</v>
      </c>
      <c r="J713" s="163">
        <v>533.7</v>
      </c>
      <c r="K713" s="135">
        <v>6.4039</v>
      </c>
      <c r="L713" s="163">
        <v>533.7</v>
      </c>
      <c r="M713" s="122">
        <f t="shared" si="110"/>
        <v>0.011999063144088438</v>
      </c>
      <c r="N713" s="135">
        <v>238.165</v>
      </c>
      <c r="O713" s="121">
        <f t="shared" si="111"/>
        <v>2.8577568737118226</v>
      </c>
      <c r="P713" s="121">
        <f t="shared" si="112"/>
        <v>719.9437886453063</v>
      </c>
      <c r="Q713" s="121">
        <f t="shared" si="113"/>
        <v>171.46541242270936</v>
      </c>
      <c r="S713" s="80"/>
      <c r="T713" s="80"/>
    </row>
    <row r="714" spans="1:20" s="88" customFormat="1" ht="12.75" customHeight="1">
      <c r="A714" s="878"/>
      <c r="B714" s="116">
        <v>7</v>
      </c>
      <c r="C714" s="16"/>
      <c r="D714" s="31"/>
      <c r="E714" s="31"/>
      <c r="F714" s="240"/>
      <c r="G714" s="240"/>
      <c r="H714" s="240"/>
      <c r="I714" s="240"/>
      <c r="J714" s="163"/>
      <c r="K714" s="240"/>
      <c r="L714" s="163"/>
      <c r="M714" s="122"/>
      <c r="N714" s="240"/>
      <c r="O714" s="121"/>
      <c r="P714" s="121"/>
      <c r="Q714" s="121"/>
      <c r="S714" s="80"/>
      <c r="T714" s="80"/>
    </row>
    <row r="715" spans="1:20" s="88" customFormat="1" ht="12.75" customHeight="1">
      <c r="A715" s="878"/>
      <c r="B715" s="116">
        <v>8</v>
      </c>
      <c r="C715" s="16"/>
      <c r="D715" s="31"/>
      <c r="E715" s="31"/>
      <c r="F715" s="240"/>
      <c r="G715" s="240"/>
      <c r="H715" s="240"/>
      <c r="I715" s="240"/>
      <c r="J715" s="163"/>
      <c r="K715" s="240"/>
      <c r="L715" s="163"/>
      <c r="M715" s="122"/>
      <c r="N715" s="121"/>
      <c r="O715" s="121"/>
      <c r="P715" s="121"/>
      <c r="Q715" s="123"/>
      <c r="S715" s="80"/>
      <c r="T715" s="80"/>
    </row>
    <row r="716" spans="1:20" s="88" customFormat="1" ht="12.75" customHeight="1">
      <c r="A716" s="878"/>
      <c r="B716" s="116">
        <v>9</v>
      </c>
      <c r="C716" s="16"/>
      <c r="D716" s="31"/>
      <c r="E716" s="31"/>
      <c r="F716" s="240"/>
      <c r="G716" s="240"/>
      <c r="H716" s="240"/>
      <c r="I716" s="240"/>
      <c r="J716" s="163"/>
      <c r="K716" s="240"/>
      <c r="L716" s="163"/>
      <c r="M716" s="122"/>
      <c r="N716" s="121"/>
      <c r="O716" s="121"/>
      <c r="P716" s="121"/>
      <c r="Q716" s="123"/>
      <c r="S716" s="80"/>
      <c r="T716" s="80"/>
    </row>
    <row r="717" spans="1:20" s="88" customFormat="1" ht="12.75" customHeight="1" thickBot="1">
      <c r="A717" s="879"/>
      <c r="B717" s="117">
        <v>10</v>
      </c>
      <c r="C717" s="58"/>
      <c r="D717" s="57"/>
      <c r="E717" s="57"/>
      <c r="F717" s="203"/>
      <c r="G717" s="203"/>
      <c r="H717" s="203"/>
      <c r="I717" s="203"/>
      <c r="J717" s="311"/>
      <c r="K717" s="203"/>
      <c r="L717" s="311"/>
      <c r="M717" s="125"/>
      <c r="N717" s="124"/>
      <c r="O717" s="124"/>
      <c r="P717" s="124"/>
      <c r="Q717" s="126"/>
      <c r="S717" s="80"/>
      <c r="T717" s="80"/>
    </row>
    <row r="718" spans="1:20" s="88" customFormat="1" ht="12.75" customHeight="1">
      <c r="A718" s="950" t="s">
        <v>33</v>
      </c>
      <c r="B718" s="114">
        <v>1</v>
      </c>
      <c r="C718" s="32" t="s">
        <v>666</v>
      </c>
      <c r="D718" s="33">
        <v>30</v>
      </c>
      <c r="E718" s="33">
        <v>2000</v>
      </c>
      <c r="F718" s="247">
        <v>27.8</v>
      </c>
      <c r="G718" s="247">
        <v>3.350379</v>
      </c>
      <c r="H718" s="247">
        <v>4.72</v>
      </c>
      <c r="I718" s="247">
        <v>19.7296</v>
      </c>
      <c r="J718" s="397">
        <v>1411.56</v>
      </c>
      <c r="K718" s="247">
        <v>19.7296</v>
      </c>
      <c r="L718" s="397">
        <v>1411.56</v>
      </c>
      <c r="M718" s="405">
        <f aca="true" t="shared" si="114" ref="M718:M741">K718/L718</f>
        <v>0.013977160021536457</v>
      </c>
      <c r="N718" s="247">
        <v>238.165</v>
      </c>
      <c r="O718" s="249">
        <f aca="true" t="shared" si="115" ref="O718:O741">M718*N718</f>
        <v>3.32887031652923</v>
      </c>
      <c r="P718" s="249">
        <f aca="true" t="shared" si="116" ref="P718:P741">M718*1000*60</f>
        <v>838.6296012921874</v>
      </c>
      <c r="Q718" s="406">
        <f aca="true" t="shared" si="117" ref="Q718:Q741">O718*60</f>
        <v>199.7322189917538</v>
      </c>
      <c r="S718" s="80"/>
      <c r="T718" s="80"/>
    </row>
    <row r="719" spans="1:20" s="88" customFormat="1" ht="12.75" customHeight="1">
      <c r="A719" s="951"/>
      <c r="B719" s="95">
        <v>2</v>
      </c>
      <c r="C719" s="34" t="s">
        <v>667</v>
      </c>
      <c r="D719" s="35">
        <v>60</v>
      </c>
      <c r="E719" s="35">
        <v>1968</v>
      </c>
      <c r="F719" s="248">
        <v>55.1</v>
      </c>
      <c r="G719" s="248">
        <v>4.9564</v>
      </c>
      <c r="H719" s="248">
        <v>9.6</v>
      </c>
      <c r="I719" s="248">
        <v>40.5436</v>
      </c>
      <c r="J719" s="110">
        <v>2731.74</v>
      </c>
      <c r="K719" s="248">
        <v>40.5436</v>
      </c>
      <c r="L719" s="110">
        <v>2731.74</v>
      </c>
      <c r="M719" s="128">
        <f t="shared" si="114"/>
        <v>0.014841676001376413</v>
      </c>
      <c r="N719" s="248">
        <v>238.165</v>
      </c>
      <c r="O719" s="127">
        <f t="shared" si="115"/>
        <v>3.534767764867813</v>
      </c>
      <c r="P719" s="127">
        <f t="shared" si="116"/>
        <v>890.5005600825848</v>
      </c>
      <c r="Q719" s="155">
        <f t="shared" si="117"/>
        <v>212.08606589206877</v>
      </c>
      <c r="S719" s="80"/>
      <c r="T719" s="80"/>
    </row>
    <row r="720" spans="1:20" s="88" customFormat="1" ht="12.75" customHeight="1">
      <c r="A720" s="951"/>
      <c r="B720" s="95">
        <v>3</v>
      </c>
      <c r="C720" s="34" t="s">
        <v>668</v>
      </c>
      <c r="D720" s="35">
        <v>30</v>
      </c>
      <c r="E720" s="35">
        <v>2007</v>
      </c>
      <c r="F720" s="248">
        <v>27.6</v>
      </c>
      <c r="G720" s="248">
        <v>3.06126</v>
      </c>
      <c r="H720" s="248">
        <v>2.4</v>
      </c>
      <c r="I720" s="248">
        <v>22.13874</v>
      </c>
      <c r="J720" s="110">
        <v>1423.9</v>
      </c>
      <c r="K720" s="248">
        <v>22.1387</v>
      </c>
      <c r="L720" s="110">
        <v>1423.9</v>
      </c>
      <c r="M720" s="128">
        <f t="shared" si="114"/>
        <v>0.015547931736779267</v>
      </c>
      <c r="N720" s="248">
        <v>238.165</v>
      </c>
      <c r="O720" s="127">
        <f t="shared" si="115"/>
        <v>3.702973162090034</v>
      </c>
      <c r="P720" s="127">
        <f t="shared" si="116"/>
        <v>932.875904206756</v>
      </c>
      <c r="Q720" s="155">
        <f t="shared" si="117"/>
        <v>222.17838972540204</v>
      </c>
      <c r="S720" s="80"/>
      <c r="T720" s="80"/>
    </row>
    <row r="721" spans="1:20" ht="12.75" customHeight="1">
      <c r="A721" s="951"/>
      <c r="B721" s="35">
        <v>4</v>
      </c>
      <c r="C721" s="34" t="s">
        <v>669</v>
      </c>
      <c r="D721" s="35">
        <v>30</v>
      </c>
      <c r="E721" s="35">
        <v>1982</v>
      </c>
      <c r="F721" s="248">
        <v>37.5</v>
      </c>
      <c r="G721" s="248">
        <v>3.28802</v>
      </c>
      <c r="H721" s="248">
        <v>4.8</v>
      </c>
      <c r="I721" s="248">
        <v>29.41198</v>
      </c>
      <c r="J721" s="110">
        <v>1725.45</v>
      </c>
      <c r="K721" s="248">
        <v>29.412</v>
      </c>
      <c r="L721" s="110">
        <v>1725.45</v>
      </c>
      <c r="M721" s="128">
        <f t="shared" si="114"/>
        <v>0.017045988003129616</v>
      </c>
      <c r="N721" s="248">
        <v>238.165</v>
      </c>
      <c r="O721" s="127">
        <f t="shared" si="115"/>
        <v>4.059757732765365</v>
      </c>
      <c r="P721" s="127">
        <f t="shared" si="116"/>
        <v>1022.7592801877769</v>
      </c>
      <c r="Q721" s="155">
        <f t="shared" si="117"/>
        <v>243.58546396592192</v>
      </c>
      <c r="S721" s="80"/>
      <c r="T721" s="80"/>
    </row>
    <row r="722" spans="1:20" ht="12.75" customHeight="1">
      <c r="A722" s="951"/>
      <c r="B722" s="35">
        <v>5</v>
      </c>
      <c r="C722" s="34" t="s">
        <v>670</v>
      </c>
      <c r="D722" s="35">
        <v>50</v>
      </c>
      <c r="E722" s="35">
        <v>1975</v>
      </c>
      <c r="F722" s="248">
        <v>60.1</v>
      </c>
      <c r="G722" s="248">
        <v>3.621</v>
      </c>
      <c r="H722" s="248">
        <v>5.202576</v>
      </c>
      <c r="I722" s="248">
        <v>51.27642</v>
      </c>
      <c r="J722" s="110">
        <v>2485.16</v>
      </c>
      <c r="K722" s="248">
        <v>51.2764</v>
      </c>
      <c r="L722" s="110">
        <v>2485.16</v>
      </c>
      <c r="M722" s="128">
        <f t="shared" si="114"/>
        <v>0.02063303771185759</v>
      </c>
      <c r="N722" s="248">
        <v>238.165</v>
      </c>
      <c r="O722" s="127">
        <f t="shared" si="115"/>
        <v>4.9140674266445625</v>
      </c>
      <c r="P722" s="127">
        <f t="shared" si="116"/>
        <v>1237.9822627114554</v>
      </c>
      <c r="Q722" s="155">
        <f t="shared" si="117"/>
        <v>294.84404559867374</v>
      </c>
      <c r="S722" s="80"/>
      <c r="T722" s="80"/>
    </row>
    <row r="723" spans="1:20" ht="12.75" customHeight="1">
      <c r="A723" s="951"/>
      <c r="B723" s="35">
        <v>6</v>
      </c>
      <c r="C723" s="34" t="s">
        <v>671</v>
      </c>
      <c r="D723" s="35">
        <v>40</v>
      </c>
      <c r="E723" s="35">
        <v>1973</v>
      </c>
      <c r="F723" s="248">
        <v>68.76</v>
      </c>
      <c r="G723" s="248">
        <v>4.212067</v>
      </c>
      <c r="H723" s="248">
        <v>6.16</v>
      </c>
      <c r="I723" s="248">
        <v>58.3879</v>
      </c>
      <c r="J723" s="110">
        <v>2567.4</v>
      </c>
      <c r="K723" s="248">
        <v>58.3879</v>
      </c>
      <c r="L723" s="110">
        <v>2567.4</v>
      </c>
      <c r="M723" s="128">
        <f t="shared" si="114"/>
        <v>0.02274203474332009</v>
      </c>
      <c r="N723" s="248">
        <v>238.165</v>
      </c>
      <c r="O723" s="127">
        <f t="shared" si="115"/>
        <v>5.416356704642829</v>
      </c>
      <c r="P723" s="127">
        <f t="shared" si="116"/>
        <v>1364.5220845992053</v>
      </c>
      <c r="Q723" s="155">
        <f t="shared" si="117"/>
        <v>324.98140227856976</v>
      </c>
      <c r="S723" s="80"/>
      <c r="T723" s="80"/>
    </row>
    <row r="724" spans="1:20" ht="12.75" customHeight="1">
      <c r="A724" s="951"/>
      <c r="B724" s="35">
        <v>7</v>
      </c>
      <c r="C724" s="34" t="s">
        <v>672</v>
      </c>
      <c r="D724" s="35">
        <v>60</v>
      </c>
      <c r="E724" s="35">
        <v>1968</v>
      </c>
      <c r="F724" s="248">
        <v>76.65</v>
      </c>
      <c r="G724" s="248">
        <v>4.76196</v>
      </c>
      <c r="H724" s="248">
        <v>9.6</v>
      </c>
      <c r="I724" s="248">
        <v>62.28804</v>
      </c>
      <c r="J724" s="110">
        <v>2726.22</v>
      </c>
      <c r="K724" s="248">
        <v>62.288</v>
      </c>
      <c r="L724" s="110">
        <v>2726.22</v>
      </c>
      <c r="M724" s="128">
        <f t="shared" si="114"/>
        <v>0.02284775256582374</v>
      </c>
      <c r="N724" s="248">
        <v>238.165</v>
      </c>
      <c r="O724" s="127">
        <f t="shared" si="115"/>
        <v>5.441534989839411</v>
      </c>
      <c r="P724" s="127">
        <f t="shared" si="116"/>
        <v>1370.8651539494244</v>
      </c>
      <c r="Q724" s="155">
        <f t="shared" si="117"/>
        <v>326.4920993903647</v>
      </c>
      <c r="S724" s="80"/>
      <c r="T724" s="80"/>
    </row>
    <row r="725" spans="1:20" ht="12" customHeight="1">
      <c r="A725" s="951"/>
      <c r="B725" s="35">
        <v>8</v>
      </c>
      <c r="C725" s="34" t="s">
        <v>673</v>
      </c>
      <c r="D725" s="35">
        <v>60</v>
      </c>
      <c r="E725" s="35">
        <v>1980</v>
      </c>
      <c r="F725" s="248">
        <v>91.33</v>
      </c>
      <c r="G725" s="248">
        <v>8.5035</v>
      </c>
      <c r="H725" s="248">
        <v>9.44</v>
      </c>
      <c r="I725" s="248">
        <v>73.3865</v>
      </c>
      <c r="J725" s="110">
        <v>3087.75</v>
      </c>
      <c r="K725" s="248">
        <v>73.3865</v>
      </c>
      <c r="L725" s="110">
        <v>3087.75</v>
      </c>
      <c r="M725" s="128">
        <f t="shared" si="114"/>
        <v>0.023766982430572424</v>
      </c>
      <c r="N725" s="248">
        <v>238.165</v>
      </c>
      <c r="O725" s="127">
        <f t="shared" si="115"/>
        <v>5.660463370577281</v>
      </c>
      <c r="P725" s="127">
        <f t="shared" si="116"/>
        <v>1426.0189458343455</v>
      </c>
      <c r="Q725" s="155">
        <f t="shared" si="117"/>
        <v>339.6278022346369</v>
      </c>
      <c r="S725" s="80"/>
      <c r="T725" s="80"/>
    </row>
    <row r="726" spans="1:20" ht="12.75" customHeight="1" thickBot="1">
      <c r="A726" s="952"/>
      <c r="B726" s="37">
        <v>9</v>
      </c>
      <c r="C726" s="76" t="s">
        <v>674</v>
      </c>
      <c r="D726" s="37">
        <v>30</v>
      </c>
      <c r="E726" s="37">
        <v>1992</v>
      </c>
      <c r="F726" s="250">
        <v>46.4</v>
      </c>
      <c r="G726" s="250">
        <v>2.94788</v>
      </c>
      <c r="H726" s="250">
        <v>4.8</v>
      </c>
      <c r="I726" s="250">
        <v>38.6521</v>
      </c>
      <c r="J726" s="171">
        <v>1576.72</v>
      </c>
      <c r="K726" s="250">
        <v>38.6521</v>
      </c>
      <c r="L726" s="171">
        <v>1576.72</v>
      </c>
      <c r="M726" s="205">
        <f t="shared" si="114"/>
        <v>0.02451424476127657</v>
      </c>
      <c r="N726" s="250">
        <v>238.165</v>
      </c>
      <c r="O726" s="158">
        <f t="shared" si="115"/>
        <v>5.838435103569434</v>
      </c>
      <c r="P726" s="158">
        <f t="shared" si="116"/>
        <v>1470.8546856765943</v>
      </c>
      <c r="Q726" s="159">
        <f t="shared" si="117"/>
        <v>350.30610621416605</v>
      </c>
      <c r="S726" s="80"/>
      <c r="T726" s="80"/>
    </row>
    <row r="727" spans="1:20" ht="12.75">
      <c r="A727" s="953" t="s">
        <v>49</v>
      </c>
      <c r="B727" s="299">
        <v>1</v>
      </c>
      <c r="C727" s="256" t="s">
        <v>675</v>
      </c>
      <c r="D727" s="219">
        <v>60</v>
      </c>
      <c r="E727" s="219">
        <v>1981</v>
      </c>
      <c r="F727" s="270">
        <v>97.2</v>
      </c>
      <c r="G727" s="270">
        <v>5.89576</v>
      </c>
      <c r="H727" s="270">
        <v>9.6</v>
      </c>
      <c r="I727" s="270">
        <v>81.70424</v>
      </c>
      <c r="J727" s="261">
        <v>3123.05</v>
      </c>
      <c r="K727" s="270">
        <v>81.7042</v>
      </c>
      <c r="L727" s="261">
        <v>3123.05</v>
      </c>
      <c r="M727" s="272">
        <f t="shared" si="114"/>
        <v>0.02616166888138198</v>
      </c>
      <c r="N727" s="270">
        <v>238.165</v>
      </c>
      <c r="O727" s="271">
        <f t="shared" si="115"/>
        <v>6.230793869134339</v>
      </c>
      <c r="P727" s="271">
        <f t="shared" si="116"/>
        <v>1569.700132882919</v>
      </c>
      <c r="Q727" s="273">
        <f t="shared" si="117"/>
        <v>373.8476321480603</v>
      </c>
      <c r="S727" s="80"/>
      <c r="T727" s="80"/>
    </row>
    <row r="728" spans="1:20" ht="12.75">
      <c r="A728" s="939"/>
      <c r="B728" s="265">
        <v>2</v>
      </c>
      <c r="C728" s="256" t="s">
        <v>676</v>
      </c>
      <c r="D728" s="219">
        <v>50</v>
      </c>
      <c r="E728" s="219">
        <v>1988</v>
      </c>
      <c r="F728" s="270">
        <v>78.2</v>
      </c>
      <c r="G728" s="270">
        <v>5.810725</v>
      </c>
      <c r="H728" s="270">
        <v>7.84</v>
      </c>
      <c r="I728" s="270">
        <v>64.54928</v>
      </c>
      <c r="J728" s="261">
        <v>2389.81</v>
      </c>
      <c r="K728" s="270">
        <v>64.5493</v>
      </c>
      <c r="L728" s="261">
        <v>2389.81</v>
      </c>
      <c r="M728" s="272">
        <f t="shared" si="114"/>
        <v>0.027010222569995107</v>
      </c>
      <c r="N728" s="270">
        <v>238.165</v>
      </c>
      <c r="O728" s="271">
        <f t="shared" si="115"/>
        <v>6.4328896583828845</v>
      </c>
      <c r="P728" s="271">
        <f t="shared" si="116"/>
        <v>1620.6133541997065</v>
      </c>
      <c r="Q728" s="273">
        <f t="shared" si="117"/>
        <v>385.97337950297305</v>
      </c>
      <c r="S728" s="80"/>
      <c r="T728" s="80"/>
    </row>
    <row r="729" spans="1:20" ht="12.75">
      <c r="A729" s="939"/>
      <c r="B729" s="265">
        <v>3</v>
      </c>
      <c r="C729" s="256" t="s">
        <v>677</v>
      </c>
      <c r="D729" s="219">
        <v>85</v>
      </c>
      <c r="E729" s="219">
        <v>1970</v>
      </c>
      <c r="F729" s="270">
        <v>124.1</v>
      </c>
      <c r="G729" s="270">
        <v>7.313</v>
      </c>
      <c r="H729" s="270">
        <v>13.52258</v>
      </c>
      <c r="I729" s="270">
        <v>103.2644</v>
      </c>
      <c r="J729" s="261">
        <v>3789.83</v>
      </c>
      <c r="K729" s="270">
        <v>103.2644</v>
      </c>
      <c r="L729" s="261">
        <v>3789.83</v>
      </c>
      <c r="M729" s="272">
        <f t="shared" si="114"/>
        <v>0.02724776573091669</v>
      </c>
      <c r="N729" s="270">
        <v>238.165</v>
      </c>
      <c r="O729" s="271">
        <f t="shared" si="115"/>
        <v>6.489464125303773</v>
      </c>
      <c r="P729" s="271">
        <f t="shared" si="116"/>
        <v>1634.8659438550014</v>
      </c>
      <c r="Q729" s="273">
        <f t="shared" si="117"/>
        <v>389.36784751822637</v>
      </c>
      <c r="S729" s="80"/>
      <c r="T729" s="80"/>
    </row>
    <row r="730" spans="1:20" ht="12.75">
      <c r="A730" s="939"/>
      <c r="B730" s="265">
        <v>4</v>
      </c>
      <c r="C730" s="256" t="s">
        <v>678</v>
      </c>
      <c r="D730" s="219">
        <v>30</v>
      </c>
      <c r="E730" s="219">
        <v>1985</v>
      </c>
      <c r="F730" s="270">
        <v>50.85</v>
      </c>
      <c r="G730" s="270">
        <v>3.11795</v>
      </c>
      <c r="H730" s="270">
        <v>4.8</v>
      </c>
      <c r="I730" s="270">
        <v>42.93205</v>
      </c>
      <c r="J730" s="261">
        <v>1566.56</v>
      </c>
      <c r="K730" s="270">
        <v>42.9321</v>
      </c>
      <c r="L730" s="261">
        <v>1566.56</v>
      </c>
      <c r="M730" s="272">
        <f t="shared" si="114"/>
        <v>0.027405333980185884</v>
      </c>
      <c r="N730" s="270">
        <v>238.165</v>
      </c>
      <c r="O730" s="271">
        <f t="shared" si="115"/>
        <v>6.526991367390971</v>
      </c>
      <c r="P730" s="271">
        <f t="shared" si="116"/>
        <v>1644.320038811153</v>
      </c>
      <c r="Q730" s="273">
        <f t="shared" si="117"/>
        <v>391.6194820434582</v>
      </c>
      <c r="S730" s="80"/>
      <c r="T730" s="80"/>
    </row>
    <row r="731" spans="1:20" ht="13.5" customHeight="1">
      <c r="A731" s="939"/>
      <c r="B731" s="265">
        <v>5</v>
      </c>
      <c r="C731" s="256" t="s">
        <v>679</v>
      </c>
      <c r="D731" s="219">
        <v>85</v>
      </c>
      <c r="E731" s="219">
        <v>1970</v>
      </c>
      <c r="F731" s="270">
        <v>127.2</v>
      </c>
      <c r="G731" s="270">
        <v>7.381038</v>
      </c>
      <c r="H731" s="270">
        <v>13.6</v>
      </c>
      <c r="I731" s="270">
        <v>106.219</v>
      </c>
      <c r="J731" s="261">
        <v>3839.76</v>
      </c>
      <c r="K731" s="270">
        <v>106.219</v>
      </c>
      <c r="L731" s="261">
        <v>3839.76</v>
      </c>
      <c r="M731" s="272">
        <f t="shared" si="114"/>
        <v>0.027662926849594763</v>
      </c>
      <c r="N731" s="270">
        <v>238.165</v>
      </c>
      <c r="O731" s="271">
        <f t="shared" si="115"/>
        <v>6.588340973133737</v>
      </c>
      <c r="P731" s="271">
        <f t="shared" si="116"/>
        <v>1659.7756109756858</v>
      </c>
      <c r="Q731" s="273">
        <f t="shared" si="117"/>
        <v>395.3004583880242</v>
      </c>
      <c r="S731" s="80"/>
      <c r="T731" s="80"/>
    </row>
    <row r="732" spans="1:20" ht="12" customHeight="1">
      <c r="A732" s="939"/>
      <c r="B732" s="265">
        <v>6</v>
      </c>
      <c r="C732" s="256" t="s">
        <v>680</v>
      </c>
      <c r="D732" s="219">
        <v>15</v>
      </c>
      <c r="E732" s="219">
        <v>1992</v>
      </c>
      <c r="F732" s="270">
        <v>28.2</v>
      </c>
      <c r="G732" s="270">
        <v>1.81408</v>
      </c>
      <c r="H732" s="270">
        <v>2.32</v>
      </c>
      <c r="I732" s="270">
        <v>24.06592</v>
      </c>
      <c r="J732" s="261">
        <v>861.65</v>
      </c>
      <c r="K732" s="270">
        <v>24.0659</v>
      </c>
      <c r="L732" s="261">
        <v>861.65</v>
      </c>
      <c r="M732" s="272">
        <f t="shared" si="114"/>
        <v>0.02793001798874253</v>
      </c>
      <c r="N732" s="270">
        <v>238.165</v>
      </c>
      <c r="O732" s="271">
        <f t="shared" si="115"/>
        <v>6.651952734288865</v>
      </c>
      <c r="P732" s="271">
        <f t="shared" si="116"/>
        <v>1675.801079324552</v>
      </c>
      <c r="Q732" s="273">
        <f t="shared" si="117"/>
        <v>399.1171640573319</v>
      </c>
      <c r="S732" s="80"/>
      <c r="T732" s="80"/>
    </row>
    <row r="733" spans="1:20" ht="12.75">
      <c r="A733" s="939"/>
      <c r="B733" s="265">
        <v>7</v>
      </c>
      <c r="C733" s="256" t="s">
        <v>681</v>
      </c>
      <c r="D733" s="219">
        <v>20</v>
      </c>
      <c r="E733" s="219">
        <v>1994</v>
      </c>
      <c r="F733" s="270">
        <v>38.1</v>
      </c>
      <c r="G733" s="270">
        <v>1.98415</v>
      </c>
      <c r="H733" s="270">
        <v>2.72</v>
      </c>
      <c r="I733" s="270">
        <v>33.39585</v>
      </c>
      <c r="J733" s="261">
        <v>1127.46</v>
      </c>
      <c r="K733" s="270">
        <v>33.3959</v>
      </c>
      <c r="L733" s="261">
        <v>1127.46</v>
      </c>
      <c r="M733" s="272">
        <f t="shared" si="114"/>
        <v>0.029620474340553097</v>
      </c>
      <c r="N733" s="270">
        <v>238.165</v>
      </c>
      <c r="O733" s="271">
        <f t="shared" si="115"/>
        <v>7.054560271317828</v>
      </c>
      <c r="P733" s="271">
        <f t="shared" si="116"/>
        <v>1777.228460433186</v>
      </c>
      <c r="Q733" s="273">
        <f t="shared" si="117"/>
        <v>423.2736162790697</v>
      </c>
      <c r="S733" s="80"/>
      <c r="T733" s="80"/>
    </row>
    <row r="734" spans="1:20" ht="12.75">
      <c r="A734" s="939"/>
      <c r="B734" s="265">
        <v>8</v>
      </c>
      <c r="C734" s="256" t="s">
        <v>682</v>
      </c>
      <c r="D734" s="219">
        <v>60</v>
      </c>
      <c r="E734" s="219">
        <v>1985</v>
      </c>
      <c r="F734" s="270">
        <v>144</v>
      </c>
      <c r="G734" s="270">
        <v>6.12252</v>
      </c>
      <c r="H734" s="270">
        <v>9.36</v>
      </c>
      <c r="I734" s="270">
        <v>128.5175</v>
      </c>
      <c r="J734" s="261">
        <v>3842.05</v>
      </c>
      <c r="K734" s="270">
        <v>128.5175</v>
      </c>
      <c r="L734" s="261">
        <v>3842.05</v>
      </c>
      <c r="M734" s="272">
        <f t="shared" si="114"/>
        <v>0.03345024140758189</v>
      </c>
      <c r="N734" s="270">
        <v>238.165</v>
      </c>
      <c r="O734" s="271">
        <f t="shared" si="115"/>
        <v>7.96667674483674</v>
      </c>
      <c r="P734" s="271">
        <f t="shared" si="116"/>
        <v>2007.0144844549136</v>
      </c>
      <c r="Q734" s="273">
        <f t="shared" si="117"/>
        <v>478.0006046902044</v>
      </c>
      <c r="S734" s="80"/>
      <c r="T734" s="80"/>
    </row>
    <row r="735" spans="1:20" ht="13.5" thickBot="1">
      <c r="A735" s="941"/>
      <c r="B735" s="266">
        <v>9</v>
      </c>
      <c r="C735" s="258" t="s">
        <v>683</v>
      </c>
      <c r="D735" s="232">
        <v>7</v>
      </c>
      <c r="E735" s="232">
        <v>1955</v>
      </c>
      <c r="F735" s="274">
        <v>11.3</v>
      </c>
      <c r="G735" s="274"/>
      <c r="H735" s="274"/>
      <c r="I735" s="274">
        <v>11.3</v>
      </c>
      <c r="J735" s="263">
        <v>326.22</v>
      </c>
      <c r="K735" s="274">
        <v>11.3</v>
      </c>
      <c r="L735" s="263">
        <v>326.22</v>
      </c>
      <c r="M735" s="276">
        <f t="shared" si="114"/>
        <v>0.034639200539513214</v>
      </c>
      <c r="N735" s="274">
        <v>238.165</v>
      </c>
      <c r="O735" s="275">
        <f t="shared" si="115"/>
        <v>8.249845196493164</v>
      </c>
      <c r="P735" s="275">
        <f t="shared" si="116"/>
        <v>2078.3520323707926</v>
      </c>
      <c r="Q735" s="277">
        <f t="shared" si="117"/>
        <v>494.9907117895898</v>
      </c>
      <c r="S735" s="80"/>
      <c r="T735" s="80"/>
    </row>
    <row r="736" spans="1:20" ht="12.75">
      <c r="A736" s="898" t="s">
        <v>34</v>
      </c>
      <c r="B736" s="300">
        <v>1</v>
      </c>
      <c r="C736" s="293" t="s">
        <v>684</v>
      </c>
      <c r="D736" s="73">
        <v>8</v>
      </c>
      <c r="E736" s="73">
        <v>1976</v>
      </c>
      <c r="F736" s="294">
        <v>15.1</v>
      </c>
      <c r="G736" s="294"/>
      <c r="H736" s="294"/>
      <c r="I736" s="294">
        <v>15.1</v>
      </c>
      <c r="J736" s="332">
        <v>404.24</v>
      </c>
      <c r="K736" s="294">
        <v>15.1</v>
      </c>
      <c r="L736" s="332">
        <v>404.24</v>
      </c>
      <c r="M736" s="283">
        <f t="shared" si="114"/>
        <v>0.037354047100732236</v>
      </c>
      <c r="N736" s="294">
        <v>238.165</v>
      </c>
      <c r="O736" s="284">
        <f t="shared" si="115"/>
        <v>8.896426627745893</v>
      </c>
      <c r="P736" s="284">
        <f t="shared" si="116"/>
        <v>2241.242826043934</v>
      </c>
      <c r="Q736" s="285">
        <f t="shared" si="117"/>
        <v>533.7855976647536</v>
      </c>
      <c r="S736" s="80"/>
      <c r="T736" s="80"/>
    </row>
    <row r="737" spans="1:20" ht="12.75">
      <c r="A737" s="899"/>
      <c r="B737" s="39">
        <v>2</v>
      </c>
      <c r="C737" s="45" t="s">
        <v>685</v>
      </c>
      <c r="D737" s="40">
        <v>9</v>
      </c>
      <c r="E737" s="40">
        <v>1961</v>
      </c>
      <c r="F737" s="295">
        <v>15.3</v>
      </c>
      <c r="G737" s="295"/>
      <c r="H737" s="295"/>
      <c r="I737" s="295">
        <v>15.3</v>
      </c>
      <c r="J737" s="297">
        <v>391.38</v>
      </c>
      <c r="K737" s="295">
        <v>15.3</v>
      </c>
      <c r="L737" s="297">
        <v>391.38</v>
      </c>
      <c r="M737" s="289">
        <f t="shared" si="114"/>
        <v>0.03909244212785529</v>
      </c>
      <c r="N737" s="295">
        <v>238.165</v>
      </c>
      <c r="O737" s="290">
        <f t="shared" si="115"/>
        <v>9.310451479380655</v>
      </c>
      <c r="P737" s="290">
        <f t="shared" si="116"/>
        <v>2345.546527671317</v>
      </c>
      <c r="Q737" s="291">
        <f t="shared" si="117"/>
        <v>558.6270887628393</v>
      </c>
      <c r="S737" s="80"/>
      <c r="T737" s="80"/>
    </row>
    <row r="738" spans="1:20" ht="12.75">
      <c r="A738" s="899"/>
      <c r="B738" s="39">
        <v>3</v>
      </c>
      <c r="C738" s="45" t="s">
        <v>686</v>
      </c>
      <c r="D738" s="40">
        <v>24</v>
      </c>
      <c r="E738" s="40">
        <v>1961</v>
      </c>
      <c r="F738" s="295">
        <v>36.1</v>
      </c>
      <c r="G738" s="295"/>
      <c r="H738" s="295"/>
      <c r="I738" s="295">
        <v>36.1</v>
      </c>
      <c r="J738" s="297">
        <v>909.58</v>
      </c>
      <c r="K738" s="295">
        <v>36.1</v>
      </c>
      <c r="L738" s="297">
        <v>909.58</v>
      </c>
      <c r="M738" s="289">
        <f t="shared" si="114"/>
        <v>0.03968864750764089</v>
      </c>
      <c r="N738" s="295">
        <v>238.165</v>
      </c>
      <c r="O738" s="290">
        <f t="shared" si="115"/>
        <v>9.452446733657291</v>
      </c>
      <c r="P738" s="290">
        <f t="shared" si="116"/>
        <v>2381.318850458453</v>
      </c>
      <c r="Q738" s="291">
        <f t="shared" si="117"/>
        <v>567.1468040194375</v>
      </c>
      <c r="S738" s="80"/>
      <c r="T738" s="80"/>
    </row>
    <row r="739" spans="1:20" ht="12.75">
      <c r="A739" s="899"/>
      <c r="B739" s="39">
        <v>4</v>
      </c>
      <c r="C739" s="45" t="s">
        <v>687</v>
      </c>
      <c r="D739" s="40">
        <v>24</v>
      </c>
      <c r="E739" s="40">
        <v>1960</v>
      </c>
      <c r="F739" s="295">
        <v>36.8</v>
      </c>
      <c r="G739" s="295"/>
      <c r="H739" s="295"/>
      <c r="I739" s="295">
        <v>36.8</v>
      </c>
      <c r="J739" s="297">
        <v>914.41</v>
      </c>
      <c r="K739" s="295">
        <v>36.8</v>
      </c>
      <c r="L739" s="297">
        <v>914.41</v>
      </c>
      <c r="M739" s="289">
        <f t="shared" si="114"/>
        <v>0.04024452925930381</v>
      </c>
      <c r="N739" s="295">
        <v>238.165</v>
      </c>
      <c r="O739" s="290">
        <f t="shared" si="115"/>
        <v>9.584838311042091</v>
      </c>
      <c r="P739" s="290">
        <f t="shared" si="116"/>
        <v>2414.6717555582286</v>
      </c>
      <c r="Q739" s="291">
        <f t="shared" si="117"/>
        <v>575.0902986625255</v>
      </c>
      <c r="S739" s="80"/>
      <c r="T739" s="80"/>
    </row>
    <row r="740" spans="1:20" ht="12.75">
      <c r="A740" s="899"/>
      <c r="B740" s="39">
        <v>5</v>
      </c>
      <c r="C740" s="45" t="s">
        <v>688</v>
      </c>
      <c r="D740" s="40">
        <v>16</v>
      </c>
      <c r="E740" s="40">
        <v>1964</v>
      </c>
      <c r="F740" s="295">
        <v>26.6</v>
      </c>
      <c r="G740" s="295"/>
      <c r="H740" s="295"/>
      <c r="I740" s="295">
        <v>26.6</v>
      </c>
      <c r="J740" s="297">
        <v>606.77</v>
      </c>
      <c r="K740" s="295">
        <v>26.6</v>
      </c>
      <c r="L740" s="297">
        <v>606.77</v>
      </c>
      <c r="M740" s="289">
        <f t="shared" si="114"/>
        <v>0.04383868681708061</v>
      </c>
      <c r="N740" s="295">
        <v>238.165</v>
      </c>
      <c r="O740" s="290">
        <f t="shared" si="115"/>
        <v>10.440840845790003</v>
      </c>
      <c r="P740" s="290">
        <f t="shared" si="116"/>
        <v>2630.3212090248367</v>
      </c>
      <c r="Q740" s="291">
        <f t="shared" si="117"/>
        <v>626.4504507474002</v>
      </c>
      <c r="S740" s="80"/>
      <c r="T740" s="80"/>
    </row>
    <row r="741" spans="1:20" ht="12" customHeight="1">
      <c r="A741" s="899"/>
      <c r="B741" s="39">
        <v>6</v>
      </c>
      <c r="C741" s="45" t="s">
        <v>689</v>
      </c>
      <c r="D741" s="40">
        <v>10</v>
      </c>
      <c r="E741" s="40">
        <v>1938</v>
      </c>
      <c r="F741" s="295">
        <v>13.9</v>
      </c>
      <c r="G741" s="295"/>
      <c r="H741" s="295"/>
      <c r="I741" s="295">
        <v>13.9</v>
      </c>
      <c r="J741" s="297">
        <v>304.82</v>
      </c>
      <c r="K741" s="295">
        <v>13.9</v>
      </c>
      <c r="L741" s="297">
        <v>304.82</v>
      </c>
      <c r="M741" s="289">
        <f t="shared" si="114"/>
        <v>0.045600682369923234</v>
      </c>
      <c r="N741" s="295">
        <v>238.165</v>
      </c>
      <c r="O741" s="290">
        <f t="shared" si="115"/>
        <v>10.860486516632767</v>
      </c>
      <c r="P741" s="290">
        <f t="shared" si="116"/>
        <v>2736.040942195394</v>
      </c>
      <c r="Q741" s="291">
        <f t="shared" si="117"/>
        <v>651.629190997966</v>
      </c>
      <c r="S741" s="80"/>
      <c r="T741" s="80"/>
    </row>
    <row r="742" spans="1:20" ht="12.75">
      <c r="A742" s="899"/>
      <c r="B742" s="39">
        <v>7</v>
      </c>
      <c r="C742" s="45"/>
      <c r="D742" s="40"/>
      <c r="E742" s="40"/>
      <c r="F742" s="295"/>
      <c r="G742" s="295"/>
      <c r="H742" s="295"/>
      <c r="I742" s="295"/>
      <c r="J742" s="297"/>
      <c r="K742" s="295"/>
      <c r="L742" s="297"/>
      <c r="M742" s="289"/>
      <c r="N742" s="295"/>
      <c r="O742" s="290"/>
      <c r="P742" s="290"/>
      <c r="Q742" s="291"/>
      <c r="S742" s="80"/>
      <c r="T742" s="80"/>
    </row>
    <row r="743" spans="1:20" ht="12.75">
      <c r="A743" s="899"/>
      <c r="B743" s="40">
        <v>8</v>
      </c>
      <c r="C743" s="576"/>
      <c r="D743" s="73"/>
      <c r="E743" s="73"/>
      <c r="F743" s="577"/>
      <c r="G743" s="294"/>
      <c r="H743" s="294"/>
      <c r="I743" s="294"/>
      <c r="J743" s="332"/>
      <c r="K743" s="284"/>
      <c r="L743" s="332"/>
      <c r="M743" s="283"/>
      <c r="N743" s="284"/>
      <c r="O743" s="284"/>
      <c r="P743" s="284"/>
      <c r="Q743" s="285"/>
      <c r="S743" s="80"/>
      <c r="T743" s="80"/>
    </row>
    <row r="744" spans="1:20" ht="13.5" thickBot="1">
      <c r="A744" s="900"/>
      <c r="B744" s="42">
        <v>9</v>
      </c>
      <c r="C744" s="111"/>
      <c r="D744" s="42"/>
      <c r="E744" s="42"/>
      <c r="F744" s="47"/>
      <c r="G744" s="47"/>
      <c r="H744" s="47"/>
      <c r="I744" s="47"/>
      <c r="J744" s="79"/>
      <c r="K744" s="47"/>
      <c r="L744" s="109"/>
      <c r="M744" s="48"/>
      <c r="N744" s="47"/>
      <c r="O744" s="47"/>
      <c r="P744" s="47"/>
      <c r="Q744" s="78"/>
      <c r="S744" s="80"/>
      <c r="T744" s="80"/>
    </row>
    <row r="745" spans="19:20" ht="12.75">
      <c r="S745" s="80"/>
      <c r="T745" s="80"/>
    </row>
    <row r="746" spans="19:20" ht="12.75">
      <c r="S746" s="80"/>
      <c r="T746" s="80"/>
    </row>
    <row r="747" spans="19:20" ht="12.75">
      <c r="S747" s="80"/>
      <c r="T747" s="80"/>
    </row>
    <row r="748" spans="19:20" ht="12.75">
      <c r="S748" s="80"/>
      <c r="T748" s="80"/>
    </row>
    <row r="749" spans="19:20" ht="12.75">
      <c r="S749" s="80"/>
      <c r="T749" s="80"/>
    </row>
    <row r="750" spans="19:20" ht="12.75">
      <c r="S750" s="80"/>
      <c r="T750" s="80"/>
    </row>
    <row r="751" spans="19:20" ht="12.75">
      <c r="S751" s="80"/>
      <c r="T751" s="80"/>
    </row>
    <row r="752" spans="1:20" ht="15">
      <c r="A752" s="907" t="s">
        <v>43</v>
      </c>
      <c r="B752" s="907"/>
      <c r="C752" s="907"/>
      <c r="D752" s="907"/>
      <c r="E752" s="907"/>
      <c r="F752" s="907"/>
      <c r="G752" s="907"/>
      <c r="H752" s="907"/>
      <c r="I752" s="907"/>
      <c r="J752" s="907"/>
      <c r="K752" s="907"/>
      <c r="L752" s="907"/>
      <c r="M752" s="907"/>
      <c r="N752" s="907"/>
      <c r="O752" s="907"/>
      <c r="P752" s="907"/>
      <c r="Q752" s="907"/>
      <c r="S752" s="80"/>
      <c r="T752" s="80"/>
    </row>
    <row r="753" spans="1:20" ht="13.5" thickBot="1">
      <c r="A753" s="934" t="s">
        <v>691</v>
      </c>
      <c r="B753" s="934"/>
      <c r="C753" s="934"/>
      <c r="D753" s="934"/>
      <c r="E753" s="934"/>
      <c r="F753" s="934"/>
      <c r="G753" s="934"/>
      <c r="H753" s="934"/>
      <c r="I753" s="934"/>
      <c r="J753" s="934"/>
      <c r="K753" s="934"/>
      <c r="L753" s="934"/>
      <c r="M753" s="934"/>
      <c r="N753" s="934"/>
      <c r="O753" s="934"/>
      <c r="P753" s="934"/>
      <c r="Q753" s="934"/>
      <c r="S753" s="80"/>
      <c r="T753" s="80"/>
    </row>
    <row r="754" spans="1:20" ht="12.75" customHeight="1">
      <c r="A754" s="885" t="s">
        <v>1</v>
      </c>
      <c r="B754" s="908" t="s">
        <v>0</v>
      </c>
      <c r="C754" s="880" t="s">
        <v>2</v>
      </c>
      <c r="D754" s="880" t="s">
        <v>3</v>
      </c>
      <c r="E754" s="880" t="s">
        <v>13</v>
      </c>
      <c r="F754" s="911" t="s">
        <v>14</v>
      </c>
      <c r="G754" s="912"/>
      <c r="H754" s="912"/>
      <c r="I754" s="913"/>
      <c r="J754" s="880" t="s">
        <v>4</v>
      </c>
      <c r="K754" s="880" t="s">
        <v>15</v>
      </c>
      <c r="L754" s="880" t="s">
        <v>5</v>
      </c>
      <c r="M754" s="880" t="s">
        <v>6</v>
      </c>
      <c r="N754" s="880" t="s">
        <v>16</v>
      </c>
      <c r="O754" s="880" t="s">
        <v>17</v>
      </c>
      <c r="P754" s="920" t="s">
        <v>25</v>
      </c>
      <c r="Q754" s="890" t="s">
        <v>26</v>
      </c>
      <c r="S754" s="80"/>
      <c r="T754" s="80"/>
    </row>
    <row r="755" spans="1:20" s="2" customFormat="1" ht="33.75">
      <c r="A755" s="886"/>
      <c r="B755" s="909"/>
      <c r="C755" s="888"/>
      <c r="D755" s="881"/>
      <c r="E755" s="881"/>
      <c r="F755" s="36" t="s">
        <v>18</v>
      </c>
      <c r="G755" s="36" t="s">
        <v>19</v>
      </c>
      <c r="H755" s="36" t="s">
        <v>20</v>
      </c>
      <c r="I755" s="36" t="s">
        <v>21</v>
      </c>
      <c r="J755" s="881"/>
      <c r="K755" s="881"/>
      <c r="L755" s="881"/>
      <c r="M755" s="881"/>
      <c r="N755" s="881"/>
      <c r="O755" s="881"/>
      <c r="P755" s="921"/>
      <c r="Q755" s="891"/>
      <c r="S755" s="80"/>
      <c r="T755" s="80"/>
    </row>
    <row r="756" spans="1:20" s="3" customFormat="1" ht="13.5" customHeight="1" thickBot="1">
      <c r="A756" s="887"/>
      <c r="B756" s="910"/>
      <c r="C756" s="889"/>
      <c r="D756" s="52" t="s">
        <v>7</v>
      </c>
      <c r="E756" s="52" t="s">
        <v>8</v>
      </c>
      <c r="F756" s="52" t="s">
        <v>9</v>
      </c>
      <c r="G756" s="52" t="s">
        <v>9</v>
      </c>
      <c r="H756" s="52" t="s">
        <v>9</v>
      </c>
      <c r="I756" s="52" t="s">
        <v>9</v>
      </c>
      <c r="J756" s="52" t="s">
        <v>22</v>
      </c>
      <c r="K756" s="52" t="s">
        <v>9</v>
      </c>
      <c r="L756" s="52" t="s">
        <v>22</v>
      </c>
      <c r="M756" s="52" t="s">
        <v>69</v>
      </c>
      <c r="N756" s="52" t="s">
        <v>10</v>
      </c>
      <c r="O756" s="52" t="s">
        <v>70</v>
      </c>
      <c r="P756" s="52" t="s">
        <v>27</v>
      </c>
      <c r="Q756" s="54" t="s">
        <v>28</v>
      </c>
      <c r="S756" s="80"/>
      <c r="T756" s="80"/>
    </row>
    <row r="757" spans="1:20" ht="11.25" customHeight="1">
      <c r="A757" s="922" t="s">
        <v>11</v>
      </c>
      <c r="B757" s="30">
        <v>1</v>
      </c>
      <c r="C757" s="56" t="s">
        <v>692</v>
      </c>
      <c r="D757" s="55">
        <v>40</v>
      </c>
      <c r="E757" s="55">
        <v>1992</v>
      </c>
      <c r="F757" s="235">
        <f>SUM(G757:I757)</f>
        <v>34.36</v>
      </c>
      <c r="G757" s="235">
        <v>6.509</v>
      </c>
      <c r="H757" s="235">
        <v>6.4</v>
      </c>
      <c r="I757" s="235">
        <v>21.451</v>
      </c>
      <c r="J757" s="163">
        <v>2286.95</v>
      </c>
      <c r="K757" s="237">
        <f aca="true" t="shared" si="118" ref="K757:L760">I757</f>
        <v>21.451</v>
      </c>
      <c r="L757" s="86">
        <f>J757</f>
        <v>2286.95</v>
      </c>
      <c r="M757" s="237">
        <f>K757/L757</f>
        <v>0.009379741577209822</v>
      </c>
      <c r="N757" s="236">
        <v>217.35</v>
      </c>
      <c r="O757" s="238">
        <f>M757*N757</f>
        <v>2.038686831806555</v>
      </c>
      <c r="P757" s="238">
        <f>M757*60*1000</f>
        <v>562.7844946325893</v>
      </c>
      <c r="Q757" s="239">
        <f>P757*N757/1000</f>
        <v>122.32120990839327</v>
      </c>
      <c r="S757" s="80"/>
      <c r="T757" s="80"/>
    </row>
    <row r="758" spans="1:20" ht="12.75">
      <c r="A758" s="923"/>
      <c r="B758" s="31">
        <v>2</v>
      </c>
      <c r="C758" s="16" t="s">
        <v>693</v>
      </c>
      <c r="D758" s="31">
        <v>45</v>
      </c>
      <c r="E758" s="31">
        <v>1990</v>
      </c>
      <c r="F758" s="135">
        <f>SUM(G758:I758)</f>
        <v>36.693</v>
      </c>
      <c r="G758" s="135">
        <v>4.935</v>
      </c>
      <c r="H758" s="135">
        <v>7.2</v>
      </c>
      <c r="I758" s="135">
        <v>24.558</v>
      </c>
      <c r="J758" s="86">
        <v>2333.65</v>
      </c>
      <c r="K758" s="122">
        <f t="shared" si="118"/>
        <v>24.558</v>
      </c>
      <c r="L758" s="163">
        <f>J758</f>
        <v>2333.65</v>
      </c>
      <c r="M758" s="122">
        <f>K758/L758</f>
        <v>0.010523428963212135</v>
      </c>
      <c r="N758" s="121">
        <v>217.35</v>
      </c>
      <c r="O758" s="121">
        <f>M758*N758</f>
        <v>2.2872672851541576</v>
      </c>
      <c r="P758" s="238">
        <f>M758*60*1000</f>
        <v>631.4057377927281</v>
      </c>
      <c r="Q758" s="123">
        <f>P758*N758/1000</f>
        <v>137.23603710924945</v>
      </c>
      <c r="S758" s="80"/>
      <c r="T758" s="80"/>
    </row>
    <row r="759" spans="1:20" ht="12.75">
      <c r="A759" s="923"/>
      <c r="B759" s="31">
        <v>3</v>
      </c>
      <c r="C759" s="16" t="s">
        <v>694</v>
      </c>
      <c r="D759" s="31">
        <v>45</v>
      </c>
      <c r="E759" s="31">
        <v>1974</v>
      </c>
      <c r="F759" s="135">
        <f>SUM(G759:I759)</f>
        <v>41.5</v>
      </c>
      <c r="G759" s="135">
        <v>6.032</v>
      </c>
      <c r="H759" s="135">
        <v>7.2</v>
      </c>
      <c r="I759" s="135">
        <v>28.268</v>
      </c>
      <c r="J759" s="163">
        <v>2307.02</v>
      </c>
      <c r="K759" s="122">
        <f t="shared" si="118"/>
        <v>28.268</v>
      </c>
      <c r="L759" s="163">
        <f t="shared" si="118"/>
        <v>2307.02</v>
      </c>
      <c r="M759" s="122">
        <f>K759/L759</f>
        <v>0.012253036384600046</v>
      </c>
      <c r="N759" s="121">
        <v>217.35</v>
      </c>
      <c r="O759" s="121">
        <f>M759*N759</f>
        <v>2.66319745819282</v>
      </c>
      <c r="P759" s="238">
        <f>M759*60*1000</f>
        <v>735.1821830760028</v>
      </c>
      <c r="Q759" s="123">
        <f>P759*N759/1000</f>
        <v>159.7918474915692</v>
      </c>
      <c r="S759" s="80"/>
      <c r="T759" s="80"/>
    </row>
    <row r="760" spans="1:20" ht="12.75">
      <c r="A760" s="923"/>
      <c r="B760" s="31">
        <v>4</v>
      </c>
      <c r="C760" s="16" t="s">
        <v>695</v>
      </c>
      <c r="D760" s="31">
        <v>40</v>
      </c>
      <c r="E760" s="31">
        <v>1982</v>
      </c>
      <c r="F760" s="135">
        <f>SUM(G760:I760)</f>
        <v>52</v>
      </c>
      <c r="G760" s="135">
        <v>3.777</v>
      </c>
      <c r="H760" s="135">
        <v>6.4</v>
      </c>
      <c r="I760" s="135">
        <v>41.823</v>
      </c>
      <c r="J760" s="163">
        <v>2259.52</v>
      </c>
      <c r="K760" s="122">
        <f t="shared" si="118"/>
        <v>41.823</v>
      </c>
      <c r="L760" s="163">
        <f t="shared" si="118"/>
        <v>2259.52</v>
      </c>
      <c r="M760" s="122">
        <f>K760/L760</f>
        <v>0.01850968347259595</v>
      </c>
      <c r="N760" s="121">
        <v>217.35</v>
      </c>
      <c r="O760" s="121">
        <f>M760*N760</f>
        <v>4.0230797027687295</v>
      </c>
      <c r="P760" s="238">
        <f>M760*60*1000</f>
        <v>1110.581008355757</v>
      </c>
      <c r="Q760" s="123">
        <f>P760*N760/1000</f>
        <v>241.38478216612376</v>
      </c>
      <c r="S760" s="80"/>
      <c r="T760" s="80"/>
    </row>
    <row r="761" spans="1:20" ht="12.75">
      <c r="A761" s="923"/>
      <c r="B761" s="31">
        <v>5</v>
      </c>
      <c r="C761" s="16"/>
      <c r="D761" s="31"/>
      <c r="E761" s="31"/>
      <c r="F761" s="240"/>
      <c r="G761" s="240"/>
      <c r="H761" s="240"/>
      <c r="I761" s="240"/>
      <c r="J761" s="163"/>
      <c r="K761" s="122"/>
      <c r="L761" s="163"/>
      <c r="M761" s="122"/>
      <c r="N761" s="121"/>
      <c r="O761" s="121"/>
      <c r="P761" s="121"/>
      <c r="Q761" s="123"/>
      <c r="S761" s="80"/>
      <c r="T761" s="80"/>
    </row>
    <row r="762" spans="1:20" ht="12.75">
      <c r="A762" s="923"/>
      <c r="B762" s="31">
        <v>6</v>
      </c>
      <c r="C762" s="16"/>
      <c r="D762" s="31"/>
      <c r="E762" s="31"/>
      <c r="F762" s="240"/>
      <c r="G762" s="240"/>
      <c r="H762" s="240"/>
      <c r="I762" s="240"/>
      <c r="J762" s="163"/>
      <c r="K762" s="122"/>
      <c r="L762" s="163"/>
      <c r="M762" s="122"/>
      <c r="N762" s="31"/>
      <c r="O762" s="31"/>
      <c r="P762" s="121"/>
      <c r="Q762" s="123"/>
      <c r="S762" s="80"/>
      <c r="T762" s="80"/>
    </row>
    <row r="763" spans="1:20" ht="12.75">
      <c r="A763" s="923"/>
      <c r="B763" s="31">
        <v>7</v>
      </c>
      <c r="C763" s="16"/>
      <c r="D763" s="31"/>
      <c r="E763" s="31"/>
      <c r="F763" s="240"/>
      <c r="G763" s="240"/>
      <c r="H763" s="240"/>
      <c r="I763" s="240"/>
      <c r="J763" s="163"/>
      <c r="K763" s="122"/>
      <c r="L763" s="163"/>
      <c r="M763" s="122"/>
      <c r="N763" s="121"/>
      <c r="O763" s="121"/>
      <c r="P763" s="121"/>
      <c r="Q763" s="123"/>
      <c r="S763" s="80"/>
      <c r="T763" s="80"/>
    </row>
    <row r="764" spans="1:20" ht="12.75">
      <c r="A764" s="923"/>
      <c r="B764" s="31">
        <v>8</v>
      </c>
      <c r="C764" s="16"/>
      <c r="D764" s="31"/>
      <c r="E764" s="31"/>
      <c r="F764" s="240"/>
      <c r="G764" s="240"/>
      <c r="H764" s="240"/>
      <c r="I764" s="240"/>
      <c r="J764" s="163"/>
      <c r="K764" s="122"/>
      <c r="L764" s="163"/>
      <c r="M764" s="122"/>
      <c r="N764" s="121"/>
      <c r="O764" s="121"/>
      <c r="P764" s="121"/>
      <c r="Q764" s="123"/>
      <c r="S764" s="80"/>
      <c r="T764" s="80"/>
    </row>
    <row r="765" spans="1:20" ht="12.75">
      <c r="A765" s="923"/>
      <c r="B765" s="31">
        <v>9</v>
      </c>
      <c r="C765" s="16"/>
      <c r="D765" s="31"/>
      <c r="E765" s="31"/>
      <c r="F765" s="240"/>
      <c r="G765" s="240"/>
      <c r="H765" s="240"/>
      <c r="I765" s="240"/>
      <c r="J765" s="163"/>
      <c r="K765" s="122"/>
      <c r="L765" s="163"/>
      <c r="M765" s="122"/>
      <c r="N765" s="121"/>
      <c r="O765" s="121"/>
      <c r="P765" s="121"/>
      <c r="Q765" s="123"/>
      <c r="S765" s="80"/>
      <c r="T765" s="80"/>
    </row>
    <row r="766" spans="1:20" ht="13.5" thickBot="1">
      <c r="A766" s="923"/>
      <c r="B766" s="84" t="s">
        <v>44</v>
      </c>
      <c r="C766" s="58"/>
      <c r="D766" s="57"/>
      <c r="E766" s="57"/>
      <c r="F766" s="203"/>
      <c r="G766" s="203"/>
      <c r="H766" s="203"/>
      <c r="I766" s="203"/>
      <c r="J766" s="311"/>
      <c r="K766" s="125"/>
      <c r="L766" s="311"/>
      <c r="M766" s="125"/>
      <c r="N766" s="124"/>
      <c r="O766" s="124"/>
      <c r="P766" s="124"/>
      <c r="Q766" s="126"/>
      <c r="S766" s="80"/>
      <c r="T766" s="80"/>
    </row>
    <row r="767" spans="1:20" ht="12.75">
      <c r="A767" s="925" t="s">
        <v>29</v>
      </c>
      <c r="B767" s="33">
        <v>1</v>
      </c>
      <c r="C767" s="34" t="s">
        <v>696</v>
      </c>
      <c r="D767" s="35">
        <v>40</v>
      </c>
      <c r="E767" s="35">
        <v>1989</v>
      </c>
      <c r="F767" s="247">
        <f>SUM(G767:I767)</f>
        <v>62.753</v>
      </c>
      <c r="G767" s="247">
        <v>4.423</v>
      </c>
      <c r="H767" s="247">
        <v>6.4</v>
      </c>
      <c r="I767" s="248">
        <v>51.93</v>
      </c>
      <c r="J767" s="397">
        <v>2266.82</v>
      </c>
      <c r="K767" s="405">
        <f aca="true" t="shared" si="119" ref="K767:L770">I767</f>
        <v>51.93</v>
      </c>
      <c r="L767" s="397">
        <f t="shared" si="119"/>
        <v>2266.82</v>
      </c>
      <c r="M767" s="136">
        <f>K767/L767</f>
        <v>0.022908744408466485</v>
      </c>
      <c r="N767" s="137">
        <v>217.35</v>
      </c>
      <c r="O767" s="137">
        <f>M767*N767</f>
        <v>4.979215597180191</v>
      </c>
      <c r="P767" s="137">
        <f>M767*60*1000</f>
        <v>1374.5246645079892</v>
      </c>
      <c r="Q767" s="157">
        <f>P767*N767/1000</f>
        <v>298.75293583081145</v>
      </c>
      <c r="S767" s="80"/>
      <c r="T767" s="80"/>
    </row>
    <row r="768" spans="1:20" ht="12.75">
      <c r="A768" s="926"/>
      <c r="B768" s="35">
        <v>2</v>
      </c>
      <c r="C768" s="34" t="s">
        <v>697</v>
      </c>
      <c r="D768" s="35">
        <v>40</v>
      </c>
      <c r="E768" s="35">
        <v>1989</v>
      </c>
      <c r="F768" s="248">
        <f>SUM(G768:I768)</f>
        <v>61.222</v>
      </c>
      <c r="G768" s="248">
        <v>3.77</v>
      </c>
      <c r="H768" s="248">
        <v>6.4</v>
      </c>
      <c r="I768" s="248">
        <v>51.052</v>
      </c>
      <c r="J768" s="110">
        <v>2207.95</v>
      </c>
      <c r="K768" s="128">
        <f t="shared" si="119"/>
        <v>51.052</v>
      </c>
      <c r="L768" s="110">
        <f t="shared" si="119"/>
        <v>2207.95</v>
      </c>
      <c r="M768" s="136">
        <f>K768/L768</f>
        <v>0.023121900405353384</v>
      </c>
      <c r="N768" s="127">
        <v>217.35</v>
      </c>
      <c r="O768" s="137">
        <f>M768*N768</f>
        <v>5.025545053103558</v>
      </c>
      <c r="P768" s="137">
        <f>M768*60*1000</f>
        <v>1387.314024321203</v>
      </c>
      <c r="Q768" s="157">
        <f>P768*N768/1000</f>
        <v>301.5327031862135</v>
      </c>
      <c r="S768" s="80"/>
      <c r="T768" s="80"/>
    </row>
    <row r="769" spans="1:20" ht="12.75">
      <c r="A769" s="926"/>
      <c r="B769" s="35">
        <v>3</v>
      </c>
      <c r="C769" s="34" t="s">
        <v>698</v>
      </c>
      <c r="D769" s="35">
        <v>45</v>
      </c>
      <c r="E769" s="35">
        <v>1970</v>
      </c>
      <c r="F769" s="248">
        <f>SUM(G769:I769)</f>
        <v>50.203</v>
      </c>
      <c r="G769" s="248">
        <v>3.641</v>
      </c>
      <c r="H769" s="248">
        <v>2.013</v>
      </c>
      <c r="I769" s="248">
        <v>44.549</v>
      </c>
      <c r="J769" s="110">
        <v>1924.65</v>
      </c>
      <c r="K769" s="128">
        <f t="shared" si="119"/>
        <v>44.549</v>
      </c>
      <c r="L769" s="110">
        <f t="shared" si="119"/>
        <v>1924.65</v>
      </c>
      <c r="M769" s="128">
        <f>K769/L769</f>
        <v>0.023146546125269528</v>
      </c>
      <c r="N769" s="127">
        <v>217.35</v>
      </c>
      <c r="O769" s="137">
        <f>M769*N769</f>
        <v>5.030901800327332</v>
      </c>
      <c r="P769" s="137">
        <f>M769*60*1000</f>
        <v>1388.7927675161718</v>
      </c>
      <c r="Q769" s="155">
        <f>P769*N769/1000</f>
        <v>301.8541080196399</v>
      </c>
      <c r="S769" s="80"/>
      <c r="T769" s="80"/>
    </row>
    <row r="770" spans="1:20" ht="12.75">
      <c r="A770" s="926"/>
      <c r="B770" s="35">
        <v>4</v>
      </c>
      <c r="C770" s="34" t="s">
        <v>699</v>
      </c>
      <c r="D770" s="35">
        <v>40</v>
      </c>
      <c r="E770" s="35">
        <v>1994</v>
      </c>
      <c r="F770" s="248">
        <f>SUM(G770:I770)</f>
        <v>64.414</v>
      </c>
      <c r="G770" s="248">
        <v>5.325</v>
      </c>
      <c r="H770" s="248">
        <v>7.02</v>
      </c>
      <c r="I770" s="248">
        <v>52.069</v>
      </c>
      <c r="J770" s="110">
        <v>2224.9</v>
      </c>
      <c r="K770" s="128">
        <f t="shared" si="119"/>
        <v>52.069</v>
      </c>
      <c r="L770" s="110">
        <f t="shared" si="119"/>
        <v>2224.9</v>
      </c>
      <c r="M770" s="128">
        <f>K770/L770</f>
        <v>0.023402849566272643</v>
      </c>
      <c r="N770" s="127">
        <v>217.35</v>
      </c>
      <c r="O770" s="127">
        <f>M770*N770</f>
        <v>5.086609353229359</v>
      </c>
      <c r="P770" s="137">
        <f>M770*60*1000</f>
        <v>1404.1709739763585</v>
      </c>
      <c r="Q770" s="155">
        <f>P770*N770/1000</f>
        <v>305.1965611937615</v>
      </c>
      <c r="S770" s="80"/>
      <c r="T770" s="80"/>
    </row>
    <row r="771" spans="1:20" ht="12.75">
      <c r="A771" s="926"/>
      <c r="B771" s="35">
        <v>5</v>
      </c>
      <c r="C771" s="34"/>
      <c r="D771" s="129"/>
      <c r="E771" s="129"/>
      <c r="F771" s="328"/>
      <c r="G771" s="328"/>
      <c r="H771" s="248"/>
      <c r="I771" s="248"/>
      <c r="J771" s="110"/>
      <c r="K771" s="128"/>
      <c r="L771" s="110"/>
      <c r="M771" s="128"/>
      <c r="N771" s="127"/>
      <c r="O771" s="127"/>
      <c r="P771" s="127"/>
      <c r="Q771" s="155"/>
      <c r="S771" s="80"/>
      <c r="T771" s="80"/>
    </row>
    <row r="772" spans="1:20" ht="12.75">
      <c r="A772" s="926"/>
      <c r="B772" s="35">
        <v>6</v>
      </c>
      <c r="C772" s="34"/>
      <c r="D772" s="35"/>
      <c r="E772" s="35"/>
      <c r="F772" s="248"/>
      <c r="G772" s="248"/>
      <c r="H772" s="248"/>
      <c r="I772" s="248"/>
      <c r="J772" s="110"/>
      <c r="K772" s="128"/>
      <c r="L772" s="110"/>
      <c r="M772" s="128"/>
      <c r="N772" s="128"/>
      <c r="O772" s="127"/>
      <c r="P772" s="127"/>
      <c r="Q772" s="155"/>
      <c r="S772" s="80"/>
      <c r="T772" s="80"/>
    </row>
    <row r="773" spans="1:20" ht="12.75">
      <c r="A773" s="926"/>
      <c r="B773" s="35">
        <v>7</v>
      </c>
      <c r="C773" s="34"/>
      <c r="D773" s="35"/>
      <c r="E773" s="35"/>
      <c r="F773" s="248"/>
      <c r="G773" s="248"/>
      <c r="H773" s="248"/>
      <c r="I773" s="248"/>
      <c r="J773" s="110"/>
      <c r="K773" s="128"/>
      <c r="L773" s="110"/>
      <c r="M773" s="128"/>
      <c r="N773" s="127"/>
      <c r="O773" s="127"/>
      <c r="P773" s="127"/>
      <c r="Q773" s="155"/>
      <c r="S773" s="80"/>
      <c r="T773" s="80"/>
    </row>
    <row r="774" spans="1:20" ht="12.75">
      <c r="A774" s="926"/>
      <c r="B774" s="35">
        <v>8</v>
      </c>
      <c r="C774" s="34"/>
      <c r="D774" s="35"/>
      <c r="E774" s="35"/>
      <c r="F774" s="248"/>
      <c r="G774" s="248"/>
      <c r="H774" s="248"/>
      <c r="I774" s="248"/>
      <c r="J774" s="110"/>
      <c r="K774" s="128"/>
      <c r="L774" s="110"/>
      <c r="M774" s="128"/>
      <c r="N774" s="127"/>
      <c r="O774" s="127"/>
      <c r="P774" s="127"/>
      <c r="Q774" s="155"/>
      <c r="S774" s="80"/>
      <c r="T774" s="80"/>
    </row>
    <row r="775" spans="1:20" ht="12.75">
      <c r="A775" s="926"/>
      <c r="B775" s="35">
        <v>9</v>
      </c>
      <c r="C775" s="34"/>
      <c r="D775" s="35"/>
      <c r="E775" s="35"/>
      <c r="F775" s="248"/>
      <c r="G775" s="248"/>
      <c r="H775" s="248"/>
      <c r="I775" s="248"/>
      <c r="J775" s="110"/>
      <c r="K775" s="128"/>
      <c r="L775" s="110"/>
      <c r="M775" s="128"/>
      <c r="N775" s="127"/>
      <c r="O775" s="127"/>
      <c r="P775" s="127"/>
      <c r="Q775" s="155"/>
      <c r="S775" s="80"/>
      <c r="T775" s="80"/>
    </row>
    <row r="776" spans="1:20" ht="13.5" customHeight="1" thickBot="1">
      <c r="A776" s="927"/>
      <c r="B776" s="37" t="s">
        <v>40</v>
      </c>
      <c r="C776" s="76"/>
      <c r="D776" s="37"/>
      <c r="E776" s="37"/>
      <c r="F776" s="250"/>
      <c r="G776" s="250"/>
      <c r="H776" s="250"/>
      <c r="I776" s="250"/>
      <c r="J776" s="171"/>
      <c r="K776" s="205"/>
      <c r="L776" s="171"/>
      <c r="M776" s="205"/>
      <c r="N776" s="158"/>
      <c r="O776" s="158"/>
      <c r="P776" s="158"/>
      <c r="Q776" s="159"/>
      <c r="S776" s="80"/>
      <c r="T776" s="80"/>
    </row>
    <row r="777" spans="1:20" ht="12.75">
      <c r="A777" s="917" t="s">
        <v>30</v>
      </c>
      <c r="B777" s="218">
        <v>1</v>
      </c>
      <c r="C777" s="254" t="s">
        <v>700</v>
      </c>
      <c r="D777" s="218">
        <v>45</v>
      </c>
      <c r="E777" s="218">
        <v>1970</v>
      </c>
      <c r="F777" s="389">
        <f>SUM(G777:I777)</f>
        <v>59.467999999999996</v>
      </c>
      <c r="G777" s="389">
        <v>2.663</v>
      </c>
      <c r="H777" s="389">
        <v>7.2</v>
      </c>
      <c r="I777" s="389">
        <v>49.605</v>
      </c>
      <c r="J777" s="399">
        <v>1913.38</v>
      </c>
      <c r="K777" s="409">
        <f aca="true" t="shared" si="120" ref="K777:L780">I777</f>
        <v>49.605</v>
      </c>
      <c r="L777" s="331">
        <f t="shared" si="120"/>
        <v>1913.38</v>
      </c>
      <c r="M777" s="268">
        <f>K777/L777</f>
        <v>0.025925325863132256</v>
      </c>
      <c r="N777" s="267">
        <v>217.35</v>
      </c>
      <c r="O777" s="267">
        <f>M777*N777</f>
        <v>5.634869576351796</v>
      </c>
      <c r="P777" s="267">
        <f>M777*60*1000</f>
        <v>1555.5195517879354</v>
      </c>
      <c r="Q777" s="269">
        <f>P777*N777/1000</f>
        <v>338.09217458110777</v>
      </c>
      <c r="S777" s="80"/>
      <c r="T777" s="80"/>
    </row>
    <row r="778" spans="1:20" ht="12.75">
      <c r="A778" s="918"/>
      <c r="B778" s="219">
        <v>2</v>
      </c>
      <c r="C778" s="256" t="s">
        <v>701</v>
      </c>
      <c r="D778" s="219">
        <v>16</v>
      </c>
      <c r="E778" s="219">
        <v>1978</v>
      </c>
      <c r="F778" s="270">
        <f>SUM(G778:I778)</f>
        <v>34.887</v>
      </c>
      <c r="G778" s="270">
        <v>2.282</v>
      </c>
      <c r="H778" s="270">
        <v>2.56</v>
      </c>
      <c r="I778" s="270">
        <v>30.045</v>
      </c>
      <c r="J778" s="261">
        <v>1154.62</v>
      </c>
      <c r="K778" s="272">
        <f t="shared" si="120"/>
        <v>30.045</v>
      </c>
      <c r="L778" s="261">
        <f t="shared" si="120"/>
        <v>1154.62</v>
      </c>
      <c r="M778" s="272">
        <f>K778/L778</f>
        <v>0.026021548214997147</v>
      </c>
      <c r="N778" s="271">
        <v>217.35</v>
      </c>
      <c r="O778" s="271">
        <f>M778*N778</f>
        <v>5.65578350452963</v>
      </c>
      <c r="P778" s="267">
        <f>M778*60*1000</f>
        <v>1561.2928928998288</v>
      </c>
      <c r="Q778" s="273">
        <f>P778*N778/1000</f>
        <v>339.3470102717778</v>
      </c>
      <c r="S778" s="80"/>
      <c r="T778" s="80"/>
    </row>
    <row r="779" spans="1:20" ht="12.75">
      <c r="A779" s="918"/>
      <c r="B779" s="219">
        <v>3</v>
      </c>
      <c r="C779" s="256" t="s">
        <v>702</v>
      </c>
      <c r="D779" s="219">
        <v>8</v>
      </c>
      <c r="E779" s="219">
        <v>1955</v>
      </c>
      <c r="F779" s="270">
        <f>SUM(G779:I779)</f>
        <v>12.78</v>
      </c>
      <c r="G779" s="270">
        <v>0.543</v>
      </c>
      <c r="H779" s="270">
        <v>0.08</v>
      </c>
      <c r="I779" s="270">
        <v>12.157</v>
      </c>
      <c r="J779" s="261">
        <v>466.28</v>
      </c>
      <c r="K779" s="272">
        <f t="shared" si="120"/>
        <v>12.157</v>
      </c>
      <c r="L779" s="261">
        <f t="shared" si="120"/>
        <v>466.28</v>
      </c>
      <c r="M779" s="272">
        <f>K779/L779</f>
        <v>0.026072317062709103</v>
      </c>
      <c r="N779" s="271">
        <v>217.35</v>
      </c>
      <c r="O779" s="271">
        <f>M779*N779</f>
        <v>5.666818113579823</v>
      </c>
      <c r="P779" s="267">
        <f>M779*60*1000</f>
        <v>1564.339023762546</v>
      </c>
      <c r="Q779" s="273">
        <f>P779*N779/1000</f>
        <v>340.0090868147894</v>
      </c>
      <c r="S779" s="80"/>
      <c r="T779" s="80"/>
    </row>
    <row r="780" spans="1:20" ht="12.75">
      <c r="A780" s="918"/>
      <c r="B780" s="219">
        <v>4</v>
      </c>
      <c r="C780" s="256" t="s">
        <v>358</v>
      </c>
      <c r="D780" s="219">
        <v>15</v>
      </c>
      <c r="E780" s="219">
        <v>1971</v>
      </c>
      <c r="F780" s="270">
        <f>SUM(G780:I780)</f>
        <v>23.814999999999998</v>
      </c>
      <c r="G780" s="270">
        <v>1.576</v>
      </c>
      <c r="H780" s="270">
        <v>2.333</v>
      </c>
      <c r="I780" s="270">
        <v>19.906</v>
      </c>
      <c r="J780" s="261">
        <v>759.48</v>
      </c>
      <c r="K780" s="272">
        <f t="shared" si="120"/>
        <v>19.906</v>
      </c>
      <c r="L780" s="261">
        <f t="shared" si="120"/>
        <v>759.48</v>
      </c>
      <c r="M780" s="272">
        <f>K780/L780</f>
        <v>0.026210038447358718</v>
      </c>
      <c r="N780" s="271">
        <v>217.35</v>
      </c>
      <c r="O780" s="271">
        <f>M780*N780</f>
        <v>5.696751856533417</v>
      </c>
      <c r="P780" s="267">
        <f>M780*60*1000</f>
        <v>1572.6023068415232</v>
      </c>
      <c r="Q780" s="273">
        <f>P780*N780/1000</f>
        <v>341.8051113920051</v>
      </c>
      <c r="S780" s="80"/>
      <c r="T780" s="80"/>
    </row>
    <row r="781" spans="1:20" ht="12.75">
      <c r="A781" s="918"/>
      <c r="B781" s="219">
        <v>5</v>
      </c>
      <c r="C781" s="310"/>
      <c r="D781" s="219"/>
      <c r="E781" s="219"/>
      <c r="F781" s="270"/>
      <c r="G781" s="270"/>
      <c r="H781" s="270"/>
      <c r="I781" s="270"/>
      <c r="J781" s="261"/>
      <c r="K781" s="272"/>
      <c r="L781" s="261"/>
      <c r="M781" s="272"/>
      <c r="N781" s="271"/>
      <c r="O781" s="271"/>
      <c r="P781" s="271"/>
      <c r="Q781" s="273"/>
      <c r="S781" s="80"/>
      <c r="T781" s="80"/>
    </row>
    <row r="782" spans="1:20" ht="12.75">
      <c r="A782" s="918"/>
      <c r="B782" s="219">
        <v>6</v>
      </c>
      <c r="C782" s="256"/>
      <c r="D782" s="219"/>
      <c r="E782" s="219"/>
      <c r="F782" s="270"/>
      <c r="G782" s="270"/>
      <c r="H782" s="270"/>
      <c r="I782" s="270"/>
      <c r="J782" s="261"/>
      <c r="K782" s="272"/>
      <c r="L782" s="261"/>
      <c r="M782" s="272"/>
      <c r="N782" s="271"/>
      <c r="O782" s="271"/>
      <c r="P782" s="271"/>
      <c r="Q782" s="273"/>
      <c r="S782" s="80"/>
      <c r="T782" s="80"/>
    </row>
    <row r="783" spans="1:20" ht="12.75">
      <c r="A783" s="918"/>
      <c r="B783" s="219">
        <v>7</v>
      </c>
      <c r="C783" s="310"/>
      <c r="D783" s="219"/>
      <c r="E783" s="219"/>
      <c r="F783" s="270"/>
      <c r="G783" s="270"/>
      <c r="H783" s="270"/>
      <c r="I783" s="270"/>
      <c r="J783" s="261"/>
      <c r="K783" s="272"/>
      <c r="L783" s="261"/>
      <c r="M783" s="272"/>
      <c r="N783" s="271"/>
      <c r="O783" s="271"/>
      <c r="P783" s="271"/>
      <c r="Q783" s="273"/>
      <c r="S783" s="80"/>
      <c r="T783" s="80"/>
    </row>
    <row r="784" spans="1:20" ht="12.75">
      <c r="A784" s="918"/>
      <c r="B784" s="219">
        <v>8</v>
      </c>
      <c r="C784" s="310"/>
      <c r="D784" s="219"/>
      <c r="E784" s="219"/>
      <c r="F784" s="270"/>
      <c r="G784" s="270"/>
      <c r="H784" s="270"/>
      <c r="I784" s="270"/>
      <c r="J784" s="261"/>
      <c r="K784" s="272"/>
      <c r="L784" s="261"/>
      <c r="M784" s="272"/>
      <c r="N784" s="271"/>
      <c r="O784" s="271"/>
      <c r="P784" s="271"/>
      <c r="Q784" s="273"/>
      <c r="S784" s="80"/>
      <c r="T784" s="80"/>
    </row>
    <row r="785" spans="1:20" ht="12.75">
      <c r="A785" s="918"/>
      <c r="B785" s="219">
        <v>9</v>
      </c>
      <c r="C785" s="310"/>
      <c r="D785" s="219"/>
      <c r="E785" s="219"/>
      <c r="F785" s="270"/>
      <c r="G785" s="270"/>
      <c r="H785" s="270"/>
      <c r="I785" s="270"/>
      <c r="J785" s="261"/>
      <c r="K785" s="272"/>
      <c r="L785" s="261"/>
      <c r="M785" s="272"/>
      <c r="N785" s="271"/>
      <c r="O785" s="271"/>
      <c r="P785" s="271"/>
      <c r="Q785" s="273"/>
      <c r="S785" s="80"/>
      <c r="T785" s="80"/>
    </row>
    <row r="786" spans="1:20" ht="13.5" thickBot="1">
      <c r="A786" s="919"/>
      <c r="B786" s="232" t="s">
        <v>40</v>
      </c>
      <c r="C786" s="326"/>
      <c r="D786" s="232"/>
      <c r="E786" s="232"/>
      <c r="F786" s="274"/>
      <c r="G786" s="274"/>
      <c r="H786" s="274"/>
      <c r="I786" s="274"/>
      <c r="J786" s="263"/>
      <c r="K786" s="276"/>
      <c r="L786" s="263"/>
      <c r="M786" s="276"/>
      <c r="N786" s="275"/>
      <c r="O786" s="275"/>
      <c r="P786" s="275"/>
      <c r="Q786" s="277"/>
      <c r="S786" s="80"/>
      <c r="T786" s="80"/>
    </row>
    <row r="787" spans="1:20" ht="12.75">
      <c r="A787" s="928" t="s">
        <v>12</v>
      </c>
      <c r="B787" s="38">
        <v>1</v>
      </c>
      <c r="C787" s="225" t="s">
        <v>703</v>
      </c>
      <c r="D787" s="38">
        <v>12</v>
      </c>
      <c r="E787" s="38">
        <v>1959</v>
      </c>
      <c r="F787" s="394">
        <f>SUM(G787:I787)</f>
        <v>18.869999999999997</v>
      </c>
      <c r="G787" s="394">
        <v>0.869</v>
      </c>
      <c r="H787" s="394">
        <v>1.92</v>
      </c>
      <c r="I787" s="394">
        <v>16.081</v>
      </c>
      <c r="J787" s="334">
        <v>548.53</v>
      </c>
      <c r="K787" s="414">
        <f aca="true" t="shared" si="121" ref="K787:L790">I787</f>
        <v>16.081</v>
      </c>
      <c r="L787" s="332">
        <f t="shared" si="121"/>
        <v>548.53</v>
      </c>
      <c r="M787" s="213">
        <f>K787/L787</f>
        <v>0.029316536925965763</v>
      </c>
      <c r="N787" s="164">
        <v>217.35</v>
      </c>
      <c r="O787" s="164">
        <f>M787*N787</f>
        <v>6.371949300858659</v>
      </c>
      <c r="P787" s="164">
        <f>M787*60*1000</f>
        <v>1758.9922155579459</v>
      </c>
      <c r="Q787" s="285">
        <f>P787*N787/1000</f>
        <v>382.3169580515195</v>
      </c>
      <c r="S787" s="80"/>
      <c r="T787" s="80"/>
    </row>
    <row r="788" spans="1:20" ht="12.75">
      <c r="A788" s="930"/>
      <c r="B788" s="40">
        <v>2</v>
      </c>
      <c r="C788" s="45" t="s">
        <v>704</v>
      </c>
      <c r="D788" s="40">
        <v>32</v>
      </c>
      <c r="E788" s="40">
        <v>1962</v>
      </c>
      <c r="F788" s="172">
        <f>SUM(G788:I788)</f>
        <v>42.501000000000005</v>
      </c>
      <c r="G788" s="172">
        <v>1.848</v>
      </c>
      <c r="H788" s="172">
        <v>5.12</v>
      </c>
      <c r="I788" s="172">
        <v>35.533</v>
      </c>
      <c r="J788" s="297">
        <v>1209.83</v>
      </c>
      <c r="K788" s="214">
        <f t="shared" si="121"/>
        <v>35.533</v>
      </c>
      <c r="L788" s="297">
        <f t="shared" si="121"/>
        <v>1209.83</v>
      </c>
      <c r="M788" s="214">
        <f>K788/L788</f>
        <v>0.029370242100129774</v>
      </c>
      <c r="N788" s="290">
        <v>217.35</v>
      </c>
      <c r="O788" s="290">
        <f>M788*N788</f>
        <v>6.383622120463206</v>
      </c>
      <c r="P788" s="164">
        <f>M788*60*1000</f>
        <v>1762.2145260077864</v>
      </c>
      <c r="Q788" s="291">
        <f>P788*N788/1000</f>
        <v>383.01732722779235</v>
      </c>
      <c r="S788" s="80"/>
      <c r="T788" s="80"/>
    </row>
    <row r="789" spans="1:20" ht="12.75">
      <c r="A789" s="930"/>
      <c r="B789" s="40">
        <v>3</v>
      </c>
      <c r="C789" s="45" t="s">
        <v>705</v>
      </c>
      <c r="D789" s="40">
        <v>32</v>
      </c>
      <c r="E789" s="40">
        <v>1961</v>
      </c>
      <c r="F789" s="172">
        <f>SUM(G789:I789)</f>
        <v>41.746</v>
      </c>
      <c r="G789" s="172">
        <v>1.359</v>
      </c>
      <c r="H789" s="172">
        <v>4.986</v>
      </c>
      <c r="I789" s="172">
        <v>35.401</v>
      </c>
      <c r="J789" s="297">
        <v>1204.31</v>
      </c>
      <c r="K789" s="214">
        <f t="shared" si="121"/>
        <v>35.401</v>
      </c>
      <c r="L789" s="297">
        <f t="shared" si="121"/>
        <v>1204.31</v>
      </c>
      <c r="M789" s="214">
        <f>K789/L789</f>
        <v>0.02939525537444678</v>
      </c>
      <c r="N789" s="290">
        <v>217.35</v>
      </c>
      <c r="O789" s="290">
        <f>M789*N789</f>
        <v>6.3890587556360074</v>
      </c>
      <c r="P789" s="164">
        <f>M789*60*1000</f>
        <v>1763.715322466807</v>
      </c>
      <c r="Q789" s="291">
        <f>P789*N789/1000</f>
        <v>383.34352533816053</v>
      </c>
      <c r="S789" s="80"/>
      <c r="T789" s="80"/>
    </row>
    <row r="790" spans="1:20" ht="12.75">
      <c r="A790" s="930"/>
      <c r="B790" s="40">
        <v>4</v>
      </c>
      <c r="C790" s="45" t="s">
        <v>706</v>
      </c>
      <c r="D790" s="40">
        <v>32</v>
      </c>
      <c r="E790" s="40">
        <v>1962</v>
      </c>
      <c r="F790" s="172">
        <f>SUM(G790:I790)</f>
        <v>43.147999999999996</v>
      </c>
      <c r="G790" s="172">
        <v>2.5</v>
      </c>
      <c r="H790" s="172">
        <v>5.053</v>
      </c>
      <c r="I790" s="172">
        <v>35.595</v>
      </c>
      <c r="J790" s="297">
        <v>1208.71</v>
      </c>
      <c r="K790" s="214">
        <f t="shared" si="121"/>
        <v>35.595</v>
      </c>
      <c r="L790" s="297">
        <f t="shared" si="121"/>
        <v>1208.71</v>
      </c>
      <c r="M790" s="214">
        <f>K790/L790</f>
        <v>0.029448751147918027</v>
      </c>
      <c r="N790" s="290">
        <v>217.35</v>
      </c>
      <c r="O790" s="290">
        <f>M790*N790</f>
        <v>6.400686061999983</v>
      </c>
      <c r="P790" s="164">
        <f>M790*60*1000</f>
        <v>1766.9250688750817</v>
      </c>
      <c r="Q790" s="291">
        <f>P790*N790/1000</f>
        <v>384.041163719999</v>
      </c>
      <c r="S790" s="80"/>
      <c r="T790" s="80"/>
    </row>
    <row r="791" spans="1:20" ht="12.75">
      <c r="A791" s="930"/>
      <c r="B791" s="40">
        <v>5</v>
      </c>
      <c r="C791" s="99"/>
      <c r="D791" s="132"/>
      <c r="E791" s="132"/>
      <c r="F791" s="579"/>
      <c r="G791" s="295"/>
      <c r="H791" s="295"/>
      <c r="I791" s="295"/>
      <c r="J791" s="297"/>
      <c r="K791" s="289"/>
      <c r="L791" s="297"/>
      <c r="M791" s="580"/>
      <c r="N791" s="290"/>
      <c r="O791" s="290"/>
      <c r="P791" s="581"/>
      <c r="Q791" s="291"/>
      <c r="S791" s="80"/>
      <c r="T791" s="80"/>
    </row>
    <row r="792" spans="1:20" ht="12.75">
      <c r="A792" s="930"/>
      <c r="B792" s="40">
        <v>6</v>
      </c>
      <c r="C792" s="99"/>
      <c r="D792" s="40"/>
      <c r="E792" s="40"/>
      <c r="F792" s="49"/>
      <c r="G792" s="49"/>
      <c r="H792" s="49"/>
      <c r="I792" s="49"/>
      <c r="J792" s="49"/>
      <c r="K792" s="41"/>
      <c r="L792" s="49"/>
      <c r="M792" s="62"/>
      <c r="N792" s="49"/>
      <c r="O792" s="63"/>
      <c r="P792" s="64"/>
      <c r="Q792" s="65"/>
      <c r="S792" s="80"/>
      <c r="T792" s="80"/>
    </row>
    <row r="793" spans="1:20" ht="12.75">
      <c r="A793" s="930"/>
      <c r="B793" s="40">
        <v>7</v>
      </c>
      <c r="C793" s="99"/>
      <c r="D793" s="40"/>
      <c r="E793" s="40"/>
      <c r="F793" s="49"/>
      <c r="G793" s="49"/>
      <c r="H793" s="49"/>
      <c r="I793" s="49"/>
      <c r="J793" s="49"/>
      <c r="K793" s="41"/>
      <c r="L793" s="49"/>
      <c r="M793" s="62"/>
      <c r="N793" s="49"/>
      <c r="O793" s="63"/>
      <c r="P793" s="64"/>
      <c r="Q793" s="65"/>
      <c r="S793" s="80"/>
      <c r="T793" s="80"/>
    </row>
    <row r="794" spans="1:20" ht="12.75">
      <c r="A794" s="930"/>
      <c r="B794" s="40">
        <v>8</v>
      </c>
      <c r="C794" s="99"/>
      <c r="D794" s="40"/>
      <c r="E794" s="40"/>
      <c r="F794" s="49"/>
      <c r="G794" s="49"/>
      <c r="H794" s="49"/>
      <c r="I794" s="49"/>
      <c r="J794" s="49"/>
      <c r="K794" s="41"/>
      <c r="L794" s="49"/>
      <c r="M794" s="62"/>
      <c r="N794" s="49"/>
      <c r="O794" s="63"/>
      <c r="P794" s="64"/>
      <c r="Q794" s="65"/>
      <c r="S794" s="80"/>
      <c r="T794" s="80"/>
    </row>
    <row r="795" spans="1:20" ht="12.75">
      <c r="A795" s="930"/>
      <c r="B795" s="40">
        <v>9</v>
      </c>
      <c r="C795" s="99"/>
      <c r="D795" s="40"/>
      <c r="E795" s="40"/>
      <c r="F795" s="49"/>
      <c r="G795" s="49"/>
      <c r="H795" s="49"/>
      <c r="I795" s="49"/>
      <c r="J795" s="49"/>
      <c r="K795" s="41"/>
      <c r="L795" s="49"/>
      <c r="M795" s="62"/>
      <c r="N795" s="49"/>
      <c r="O795" s="63"/>
      <c r="P795" s="66"/>
      <c r="Q795" s="67"/>
      <c r="S795" s="80"/>
      <c r="T795" s="80"/>
    </row>
    <row r="796" spans="1:20" ht="13.5" thickBot="1">
      <c r="A796" s="931"/>
      <c r="B796" s="42" t="s">
        <v>40</v>
      </c>
      <c r="C796" s="100"/>
      <c r="D796" s="42"/>
      <c r="E796" s="42"/>
      <c r="F796" s="50"/>
      <c r="G796" s="50"/>
      <c r="H796" s="50"/>
      <c r="I796" s="50"/>
      <c r="J796" s="50"/>
      <c r="K796" s="43"/>
      <c r="L796" s="50"/>
      <c r="M796" s="68"/>
      <c r="N796" s="50"/>
      <c r="O796" s="69"/>
      <c r="P796" s="70"/>
      <c r="Q796" s="71"/>
      <c r="S796" s="80"/>
      <c r="T796" s="80"/>
    </row>
    <row r="797" spans="19:20" ht="12.75">
      <c r="S797" s="80"/>
      <c r="T797" s="80"/>
    </row>
    <row r="798" spans="19:20" ht="12.75">
      <c r="S798" s="80"/>
      <c r="T798" s="80"/>
    </row>
    <row r="799" spans="19:20" ht="12.75">
      <c r="S799" s="80"/>
      <c r="T799" s="80"/>
    </row>
    <row r="800" spans="19:20" ht="12.75">
      <c r="S800" s="80"/>
      <c r="T800" s="80"/>
    </row>
    <row r="801" spans="19:20" ht="12.75">
      <c r="S801" s="80"/>
      <c r="T801" s="80"/>
    </row>
    <row r="802" spans="19:20" ht="12.75">
      <c r="S802" s="80"/>
      <c r="T802" s="80"/>
    </row>
    <row r="803" spans="19:20" ht="12.75">
      <c r="S803" s="80"/>
      <c r="T803" s="80"/>
    </row>
    <row r="804" spans="19:20" ht="12.75">
      <c r="S804" s="80"/>
      <c r="T804" s="80"/>
    </row>
    <row r="805" spans="19:20" ht="12.75">
      <c r="S805" s="80"/>
      <c r="T805" s="80"/>
    </row>
    <row r="806" spans="1:20" ht="14.25" customHeight="1">
      <c r="A806" s="907" t="s">
        <v>970</v>
      </c>
      <c r="B806" s="907"/>
      <c r="C806" s="907"/>
      <c r="D806" s="907"/>
      <c r="E806" s="907"/>
      <c r="F806" s="907"/>
      <c r="G806" s="907"/>
      <c r="H806" s="907"/>
      <c r="I806" s="907"/>
      <c r="J806" s="907"/>
      <c r="K806" s="907"/>
      <c r="L806" s="907"/>
      <c r="M806" s="907"/>
      <c r="N806" s="907"/>
      <c r="O806" s="907"/>
      <c r="P806" s="907"/>
      <c r="Q806" s="907"/>
      <c r="S806" s="80"/>
      <c r="T806" s="80"/>
    </row>
    <row r="807" spans="1:20" ht="13.5" thickBot="1">
      <c r="A807" s="934" t="s">
        <v>971</v>
      </c>
      <c r="B807" s="934"/>
      <c r="C807" s="934"/>
      <c r="D807" s="934"/>
      <c r="E807" s="934"/>
      <c r="F807" s="934"/>
      <c r="G807" s="934"/>
      <c r="H807" s="934"/>
      <c r="I807" s="934"/>
      <c r="J807" s="934"/>
      <c r="K807" s="934"/>
      <c r="L807" s="934"/>
      <c r="M807" s="934"/>
      <c r="N807" s="934"/>
      <c r="O807" s="934"/>
      <c r="P807" s="934"/>
      <c r="Q807" s="934"/>
      <c r="S807" s="80"/>
      <c r="T807" s="80"/>
    </row>
    <row r="808" spans="1:20" ht="12.75" customHeight="1">
      <c r="A808" s="885" t="s">
        <v>1</v>
      </c>
      <c r="B808" s="908" t="s">
        <v>0</v>
      </c>
      <c r="C808" s="880" t="s">
        <v>2</v>
      </c>
      <c r="D808" s="880" t="s">
        <v>3</v>
      </c>
      <c r="E808" s="880" t="s">
        <v>13</v>
      </c>
      <c r="F808" s="911" t="s">
        <v>14</v>
      </c>
      <c r="G808" s="912"/>
      <c r="H808" s="912"/>
      <c r="I808" s="913"/>
      <c r="J808" s="880" t="s">
        <v>4</v>
      </c>
      <c r="K808" s="880" t="s">
        <v>15</v>
      </c>
      <c r="L808" s="880" t="s">
        <v>5</v>
      </c>
      <c r="M808" s="880" t="s">
        <v>6</v>
      </c>
      <c r="N808" s="880" t="s">
        <v>16</v>
      </c>
      <c r="O808" s="880" t="s">
        <v>17</v>
      </c>
      <c r="P808" s="920" t="s">
        <v>25</v>
      </c>
      <c r="Q808" s="890" t="s">
        <v>26</v>
      </c>
      <c r="S808" s="80"/>
      <c r="T808" s="80"/>
    </row>
    <row r="809" spans="1:20" s="2" customFormat="1" ht="33.75">
      <c r="A809" s="886"/>
      <c r="B809" s="909"/>
      <c r="C809" s="888"/>
      <c r="D809" s="881"/>
      <c r="E809" s="881"/>
      <c r="F809" s="36" t="s">
        <v>18</v>
      </c>
      <c r="G809" s="36" t="s">
        <v>19</v>
      </c>
      <c r="H809" s="36" t="s">
        <v>20</v>
      </c>
      <c r="I809" s="36" t="s">
        <v>21</v>
      </c>
      <c r="J809" s="881"/>
      <c r="K809" s="881"/>
      <c r="L809" s="881"/>
      <c r="M809" s="881"/>
      <c r="N809" s="881"/>
      <c r="O809" s="881"/>
      <c r="P809" s="921"/>
      <c r="Q809" s="891"/>
      <c r="S809" s="80"/>
      <c r="T809" s="80"/>
    </row>
    <row r="810" spans="1:20" s="3" customFormat="1" ht="13.5" customHeight="1" thickBot="1">
      <c r="A810" s="886"/>
      <c r="B810" s="909"/>
      <c r="C810" s="889"/>
      <c r="D810" s="52" t="s">
        <v>7</v>
      </c>
      <c r="E810" s="52" t="s">
        <v>8</v>
      </c>
      <c r="F810" s="52" t="s">
        <v>9</v>
      </c>
      <c r="G810" s="52" t="s">
        <v>9</v>
      </c>
      <c r="H810" s="52" t="s">
        <v>9</v>
      </c>
      <c r="I810" s="52" t="s">
        <v>9</v>
      </c>
      <c r="J810" s="52" t="s">
        <v>22</v>
      </c>
      <c r="K810" s="52" t="s">
        <v>9</v>
      </c>
      <c r="L810" s="52" t="s">
        <v>22</v>
      </c>
      <c r="M810" s="52" t="s">
        <v>23</v>
      </c>
      <c r="N810" s="52" t="s">
        <v>10</v>
      </c>
      <c r="O810" s="52" t="s">
        <v>24</v>
      </c>
      <c r="P810" s="53" t="s">
        <v>27</v>
      </c>
      <c r="Q810" s="54" t="s">
        <v>28</v>
      </c>
      <c r="S810" s="80"/>
      <c r="T810" s="80"/>
    </row>
    <row r="811" spans="1:20" s="88" customFormat="1" ht="12.75" customHeight="1">
      <c r="A811" s="922" t="s">
        <v>11</v>
      </c>
      <c r="B811" s="90">
        <v>1</v>
      </c>
      <c r="C811" s="29" t="s">
        <v>972</v>
      </c>
      <c r="D811" s="30">
        <v>45</v>
      </c>
      <c r="E811" s="30" t="s">
        <v>113</v>
      </c>
      <c r="F811" s="472">
        <v>27.9</v>
      </c>
      <c r="G811" s="472">
        <v>2.73</v>
      </c>
      <c r="H811" s="472">
        <v>7.34</v>
      </c>
      <c r="I811" s="472">
        <v>17.83</v>
      </c>
      <c r="J811" s="395">
        <v>2345.22</v>
      </c>
      <c r="K811" s="814">
        <v>17.83</v>
      </c>
      <c r="L811" s="395">
        <v>2345.2</v>
      </c>
      <c r="M811" s="448">
        <v>0.007602763090567968</v>
      </c>
      <c r="N811" s="694">
        <v>223.6</v>
      </c>
      <c r="O811" s="450">
        <v>1.6999778270509978</v>
      </c>
      <c r="P811" s="450">
        <v>456.1657854340781</v>
      </c>
      <c r="Q811" s="451">
        <v>101.99866962305985</v>
      </c>
      <c r="S811" s="80"/>
      <c r="T811" s="80"/>
    </row>
    <row r="812" spans="1:20" s="88" customFormat="1" ht="12.75" customHeight="1">
      <c r="A812" s="923"/>
      <c r="B812" s="87">
        <v>2</v>
      </c>
      <c r="C812" s="16" t="s">
        <v>973</v>
      </c>
      <c r="D812" s="31">
        <v>55</v>
      </c>
      <c r="E812" s="31" t="s">
        <v>113</v>
      </c>
      <c r="F812" s="348">
        <v>64.59</v>
      </c>
      <c r="G812" s="348">
        <v>5.33</v>
      </c>
      <c r="H812" s="348">
        <v>8.81</v>
      </c>
      <c r="I812" s="348">
        <v>50.45</v>
      </c>
      <c r="J812" s="163">
        <v>2979.08</v>
      </c>
      <c r="K812" s="808">
        <v>26.6</v>
      </c>
      <c r="L812" s="163">
        <v>2979.1</v>
      </c>
      <c r="M812" s="143">
        <v>0.00892887113557786</v>
      </c>
      <c r="N812" s="695">
        <v>223.6</v>
      </c>
      <c r="O812" s="437">
        <v>1.9964955859152094</v>
      </c>
      <c r="P812" s="437">
        <v>535.7322681346716</v>
      </c>
      <c r="Q812" s="145">
        <v>119.78973515491256</v>
      </c>
      <c r="S812" s="80"/>
      <c r="T812" s="80"/>
    </row>
    <row r="813" spans="1:20" s="88" customFormat="1" ht="12.75">
      <c r="A813" s="923"/>
      <c r="B813" s="87">
        <v>3</v>
      </c>
      <c r="C813" s="16" t="s">
        <v>974</v>
      </c>
      <c r="D813" s="31">
        <v>45</v>
      </c>
      <c r="E813" s="31" t="s">
        <v>113</v>
      </c>
      <c r="F813" s="348">
        <v>32.9</v>
      </c>
      <c r="G813" s="348">
        <v>3.79</v>
      </c>
      <c r="H813" s="348">
        <v>7.34</v>
      </c>
      <c r="I813" s="348">
        <v>21.77</v>
      </c>
      <c r="J813" s="163">
        <v>2285.72</v>
      </c>
      <c r="K813" s="808">
        <v>21.77</v>
      </c>
      <c r="L813" s="163">
        <v>2285.7</v>
      </c>
      <c r="M813" s="143">
        <v>0.009524434527715798</v>
      </c>
      <c r="N813" s="695">
        <v>223.6</v>
      </c>
      <c r="O813" s="437">
        <v>2.1296635603972525</v>
      </c>
      <c r="P813" s="437">
        <v>571.4660716629479</v>
      </c>
      <c r="Q813" s="145">
        <v>127.77981362383514</v>
      </c>
      <c r="S813" s="80"/>
      <c r="T813" s="80"/>
    </row>
    <row r="814" spans="1:20" s="88" customFormat="1" ht="12.75">
      <c r="A814" s="923"/>
      <c r="B814" s="87">
        <v>4</v>
      </c>
      <c r="C814" s="16" t="s">
        <v>975</v>
      </c>
      <c r="D814" s="31">
        <v>36</v>
      </c>
      <c r="E814" s="31" t="s">
        <v>113</v>
      </c>
      <c r="F814" s="348">
        <v>31.78</v>
      </c>
      <c r="G814" s="348">
        <v>3</v>
      </c>
      <c r="H814" s="348">
        <v>5.87</v>
      </c>
      <c r="I814" s="348">
        <v>22.91</v>
      </c>
      <c r="J814" s="163">
        <v>2305.31</v>
      </c>
      <c r="K814" s="808">
        <v>22.15</v>
      </c>
      <c r="L814" s="163">
        <v>2232.72</v>
      </c>
      <c r="M814" s="143">
        <v>0.00992063492063492</v>
      </c>
      <c r="N814" s="695">
        <v>223.6</v>
      </c>
      <c r="O814" s="437">
        <v>2.218253968253968</v>
      </c>
      <c r="P814" s="437">
        <v>595.2380952380952</v>
      </c>
      <c r="Q814" s="145">
        <v>133.09523809523807</v>
      </c>
      <c r="S814" s="80"/>
      <c r="T814" s="80"/>
    </row>
    <row r="815" spans="1:20" s="88" customFormat="1" ht="12.75">
      <c r="A815" s="923"/>
      <c r="B815" s="87">
        <v>5</v>
      </c>
      <c r="C815" s="16" t="s">
        <v>976</v>
      </c>
      <c r="D815" s="31">
        <v>40</v>
      </c>
      <c r="E815" s="31" t="s">
        <v>113</v>
      </c>
      <c r="F815" s="348">
        <v>35.5</v>
      </c>
      <c r="G815" s="348">
        <v>5.26</v>
      </c>
      <c r="H815" s="348">
        <v>6.44</v>
      </c>
      <c r="I815" s="348">
        <v>23.8</v>
      </c>
      <c r="J815" s="163">
        <v>2287.45</v>
      </c>
      <c r="K815" s="808">
        <v>23.8</v>
      </c>
      <c r="L815" s="163">
        <v>2287.45</v>
      </c>
      <c r="M815" s="143">
        <v>0.010404599007628584</v>
      </c>
      <c r="N815" s="695">
        <v>223.6</v>
      </c>
      <c r="O815" s="437">
        <v>2.326468338105751</v>
      </c>
      <c r="P815" s="437">
        <v>624.275940457715</v>
      </c>
      <c r="Q815" s="145">
        <v>139.58810028634508</v>
      </c>
      <c r="S815" s="80"/>
      <c r="T815" s="80"/>
    </row>
    <row r="816" spans="1:20" s="88" customFormat="1" ht="12.75">
      <c r="A816" s="923"/>
      <c r="B816" s="87">
        <v>6</v>
      </c>
      <c r="C816" s="16" t="s">
        <v>977</v>
      </c>
      <c r="D816" s="31">
        <v>20</v>
      </c>
      <c r="E816" s="31" t="s">
        <v>113</v>
      </c>
      <c r="F816" s="348">
        <v>19.098</v>
      </c>
      <c r="G816" s="348">
        <v>1.938</v>
      </c>
      <c r="H816" s="348">
        <v>3.26</v>
      </c>
      <c r="I816" s="348">
        <v>13.9</v>
      </c>
      <c r="J816" s="163">
        <v>1055.4</v>
      </c>
      <c r="K816" s="808">
        <v>13.9</v>
      </c>
      <c r="L816" s="163">
        <v>1055.4</v>
      </c>
      <c r="M816" s="143">
        <v>0.013170361948076558</v>
      </c>
      <c r="N816" s="695">
        <v>223.6</v>
      </c>
      <c r="O816" s="437">
        <v>2.9448929315899184</v>
      </c>
      <c r="P816" s="437">
        <v>790.2217168845935</v>
      </c>
      <c r="Q816" s="145">
        <v>176.6935758953951</v>
      </c>
      <c r="S816" s="80"/>
      <c r="T816" s="80"/>
    </row>
    <row r="817" spans="1:20" s="88" customFormat="1" ht="12.75">
      <c r="A817" s="923"/>
      <c r="B817" s="87">
        <v>7</v>
      </c>
      <c r="C817" s="16" t="s">
        <v>978</v>
      </c>
      <c r="D817" s="31">
        <v>60</v>
      </c>
      <c r="E817" s="31" t="s">
        <v>113</v>
      </c>
      <c r="F817" s="348">
        <v>55.92</v>
      </c>
      <c r="G817" s="348">
        <v>6.53</v>
      </c>
      <c r="H817" s="348">
        <v>0.59</v>
      </c>
      <c r="I817" s="348">
        <v>48.8</v>
      </c>
      <c r="J817" s="163">
        <v>3263.4</v>
      </c>
      <c r="K817" s="808">
        <v>48.8</v>
      </c>
      <c r="L817" s="163">
        <v>3263.4</v>
      </c>
      <c r="M817" s="143">
        <v>0.014953729239443525</v>
      </c>
      <c r="N817" s="695">
        <v>223.6</v>
      </c>
      <c r="O817" s="437">
        <v>3.343653857939572</v>
      </c>
      <c r="P817" s="437">
        <v>897.2237543666115</v>
      </c>
      <c r="Q817" s="145">
        <v>200.61923147637432</v>
      </c>
      <c r="S817" s="80"/>
      <c r="T817" s="80"/>
    </row>
    <row r="818" spans="1:20" s="88" customFormat="1" ht="12.75">
      <c r="A818" s="923"/>
      <c r="B818" s="87">
        <v>8</v>
      </c>
      <c r="C818" s="16" t="s">
        <v>979</v>
      </c>
      <c r="D818" s="31">
        <v>22</v>
      </c>
      <c r="E818" s="31" t="s">
        <v>113</v>
      </c>
      <c r="F818" s="348">
        <v>17.402</v>
      </c>
      <c r="G818" s="348">
        <v>0.352</v>
      </c>
      <c r="H818" s="348">
        <v>2.45</v>
      </c>
      <c r="I818" s="348">
        <v>14.6</v>
      </c>
      <c r="J818" s="163">
        <v>892</v>
      </c>
      <c r="K818" s="808">
        <v>10.97</v>
      </c>
      <c r="L818" s="163">
        <v>626.12</v>
      </c>
      <c r="M818" s="143">
        <v>0.017520603079281927</v>
      </c>
      <c r="N818" s="695">
        <v>223.6</v>
      </c>
      <c r="O818" s="437">
        <v>3.9176068485274387</v>
      </c>
      <c r="P818" s="437">
        <v>1051.2361847569157</v>
      </c>
      <c r="Q818" s="145">
        <v>235.05641091164634</v>
      </c>
      <c r="S818" s="80"/>
      <c r="T818" s="80"/>
    </row>
    <row r="819" spans="1:20" s="88" customFormat="1" ht="12.75" customHeight="1">
      <c r="A819" s="923"/>
      <c r="B819" s="87">
        <v>9</v>
      </c>
      <c r="C819" s="16" t="s">
        <v>980</v>
      </c>
      <c r="D819" s="31">
        <v>18</v>
      </c>
      <c r="E819" s="31" t="s">
        <v>113</v>
      </c>
      <c r="F819" s="348">
        <v>11.73</v>
      </c>
      <c r="G819" s="348">
        <v>0</v>
      </c>
      <c r="H819" s="348">
        <v>0</v>
      </c>
      <c r="I819" s="348">
        <v>11.73</v>
      </c>
      <c r="J819" s="163">
        <v>651.37</v>
      </c>
      <c r="K819" s="808">
        <v>11.73</v>
      </c>
      <c r="L819" s="163">
        <v>651.37</v>
      </c>
      <c r="M819" s="143">
        <v>0.01800819810553142</v>
      </c>
      <c r="N819" s="695">
        <v>223.6</v>
      </c>
      <c r="O819" s="437">
        <v>4.026633096396825</v>
      </c>
      <c r="P819" s="437">
        <v>1080.491886331885</v>
      </c>
      <c r="Q819" s="145">
        <v>241.5979857838095</v>
      </c>
      <c r="S819" s="80"/>
      <c r="T819" s="80"/>
    </row>
    <row r="820" spans="1:20" s="88" customFormat="1" ht="13.5" thickBot="1">
      <c r="A820" s="924"/>
      <c r="B820" s="91">
        <v>10</v>
      </c>
      <c r="C820" s="377"/>
      <c r="D820" s="377"/>
      <c r="E820" s="377"/>
      <c r="F820" s="364"/>
      <c r="G820" s="364"/>
      <c r="H820" s="364"/>
      <c r="I820" s="364"/>
      <c r="J820" s="207"/>
      <c r="K820" s="362"/>
      <c r="L820" s="207"/>
      <c r="M820" s="91"/>
      <c r="N820" s="91"/>
      <c r="O820" s="91"/>
      <c r="P820" s="91"/>
      <c r="Q820" s="875"/>
      <c r="S820" s="80"/>
      <c r="T820" s="80"/>
    </row>
    <row r="821" spans="1:20" ht="12.75">
      <c r="A821" s="925" t="s">
        <v>29</v>
      </c>
      <c r="B821" s="60">
        <v>1</v>
      </c>
      <c r="C821" s="81" t="s">
        <v>981</v>
      </c>
      <c r="D821" s="60">
        <v>80</v>
      </c>
      <c r="E821" s="60" t="s">
        <v>113</v>
      </c>
      <c r="F821" s="252">
        <v>96.08</v>
      </c>
      <c r="G821" s="252">
        <v>5.85</v>
      </c>
      <c r="H821" s="252">
        <v>13.03</v>
      </c>
      <c r="I821" s="252">
        <v>77.2</v>
      </c>
      <c r="J821" s="113">
        <v>3919.9</v>
      </c>
      <c r="K821" s="136">
        <v>70.68</v>
      </c>
      <c r="L821" s="113">
        <v>3686.36</v>
      </c>
      <c r="M821" s="504">
        <v>0.01917338512787682</v>
      </c>
      <c r="N821" s="632">
        <v>223.6</v>
      </c>
      <c r="O821" s="506">
        <v>4.287168914593257</v>
      </c>
      <c r="P821" s="506">
        <v>1150.4031076726094</v>
      </c>
      <c r="Q821" s="507">
        <v>257.23013487559547</v>
      </c>
      <c r="S821" s="80"/>
      <c r="T821" s="80"/>
    </row>
    <row r="822" spans="1:20" ht="12.75">
      <c r="A822" s="926"/>
      <c r="B822" s="35">
        <v>2</v>
      </c>
      <c r="C822" s="34" t="s">
        <v>982</v>
      </c>
      <c r="D822" s="35">
        <v>36</v>
      </c>
      <c r="E822" s="35" t="s">
        <v>113</v>
      </c>
      <c r="F822" s="248">
        <v>62.07</v>
      </c>
      <c r="G822" s="248">
        <v>3.42</v>
      </c>
      <c r="H822" s="248">
        <v>5.95</v>
      </c>
      <c r="I822" s="248">
        <v>52.7</v>
      </c>
      <c r="J822" s="110">
        <v>2354.69</v>
      </c>
      <c r="K822" s="128">
        <v>47.96</v>
      </c>
      <c r="L822" s="110">
        <v>2153.42</v>
      </c>
      <c r="M822" s="146">
        <v>0.022271549442282507</v>
      </c>
      <c r="N822" s="562">
        <v>223.6</v>
      </c>
      <c r="O822" s="148">
        <v>4.979918455294369</v>
      </c>
      <c r="P822" s="148">
        <v>1336.2929665369504</v>
      </c>
      <c r="Q822" s="149">
        <v>298.7951073176621</v>
      </c>
      <c r="S822" s="80"/>
      <c r="T822" s="80"/>
    </row>
    <row r="823" spans="1:20" ht="12.75">
      <c r="A823" s="926"/>
      <c r="B823" s="35">
        <v>3</v>
      </c>
      <c r="C823" s="34" t="s">
        <v>983</v>
      </c>
      <c r="D823" s="35">
        <v>40</v>
      </c>
      <c r="E823" s="35" t="s">
        <v>113</v>
      </c>
      <c r="F823" s="248">
        <v>66.1</v>
      </c>
      <c r="G823" s="527">
        <v>4.94</v>
      </c>
      <c r="H823" s="527">
        <v>6.44</v>
      </c>
      <c r="I823" s="527">
        <v>54.72</v>
      </c>
      <c r="J823" s="110">
        <v>2278.59</v>
      </c>
      <c r="K823" s="128">
        <v>54.72</v>
      </c>
      <c r="L823" s="110">
        <v>2278.59</v>
      </c>
      <c r="M823" s="146">
        <v>0.024014851289613313</v>
      </c>
      <c r="N823" s="562">
        <v>223.6</v>
      </c>
      <c r="O823" s="148">
        <v>5.369720748357537</v>
      </c>
      <c r="P823" s="148">
        <v>1440.8910773767986</v>
      </c>
      <c r="Q823" s="149">
        <v>322.18324490145216</v>
      </c>
      <c r="S823" s="80"/>
      <c r="T823" s="80"/>
    </row>
    <row r="824" spans="1:20" ht="12.75">
      <c r="A824" s="926"/>
      <c r="B824" s="35">
        <v>4</v>
      </c>
      <c r="C824" s="34" t="s">
        <v>984</v>
      </c>
      <c r="D824" s="35">
        <v>80</v>
      </c>
      <c r="E824" s="35" t="s">
        <v>113</v>
      </c>
      <c r="F824" s="248">
        <v>115.59</v>
      </c>
      <c r="G824" s="248">
        <v>6.15</v>
      </c>
      <c r="H824" s="248">
        <v>13.04</v>
      </c>
      <c r="I824" s="248">
        <v>96.4</v>
      </c>
      <c r="J824" s="110">
        <v>3925.41</v>
      </c>
      <c r="K824" s="128">
        <v>89.9</v>
      </c>
      <c r="L824" s="110">
        <v>3670.74</v>
      </c>
      <c r="M824" s="146">
        <v>0.02449097457188469</v>
      </c>
      <c r="N824" s="562">
        <v>223.6</v>
      </c>
      <c r="O824" s="148">
        <v>5.4761819142734165</v>
      </c>
      <c r="P824" s="148">
        <v>1469.4584743130813</v>
      </c>
      <c r="Q824" s="149">
        <v>328.570914856405</v>
      </c>
      <c r="S824" s="80"/>
      <c r="T824" s="80"/>
    </row>
    <row r="825" spans="1:20" ht="12.75">
      <c r="A825" s="926"/>
      <c r="B825" s="35">
        <v>5</v>
      </c>
      <c r="C825" s="34" t="s">
        <v>985</v>
      </c>
      <c r="D825" s="35">
        <v>45</v>
      </c>
      <c r="E825" s="35" t="s">
        <v>113</v>
      </c>
      <c r="F825" s="248">
        <v>70</v>
      </c>
      <c r="G825" s="248">
        <v>4.71</v>
      </c>
      <c r="H825" s="248">
        <v>7.34</v>
      </c>
      <c r="I825" s="248">
        <v>57.95</v>
      </c>
      <c r="J825" s="110">
        <v>2363.02</v>
      </c>
      <c r="K825" s="128">
        <v>57.95</v>
      </c>
      <c r="L825" s="110">
        <v>2363.02</v>
      </c>
      <c r="M825" s="146">
        <v>0.024523702719401446</v>
      </c>
      <c r="N825" s="562">
        <v>223.6</v>
      </c>
      <c r="O825" s="148">
        <v>5.483499928058163</v>
      </c>
      <c r="P825" s="148">
        <v>1471.4221631640867</v>
      </c>
      <c r="Q825" s="149">
        <v>329.00999568348976</v>
      </c>
      <c r="S825" s="80"/>
      <c r="T825" s="80"/>
    </row>
    <row r="826" spans="1:20" ht="12.75">
      <c r="A826" s="926"/>
      <c r="B826" s="35">
        <v>6</v>
      </c>
      <c r="C826" s="34" t="s">
        <v>986</v>
      </c>
      <c r="D826" s="35">
        <v>40</v>
      </c>
      <c r="E826" s="35" t="s">
        <v>113</v>
      </c>
      <c r="F826" s="248">
        <v>73.49</v>
      </c>
      <c r="G826" s="248">
        <v>4.87</v>
      </c>
      <c r="H826" s="248">
        <v>6.52</v>
      </c>
      <c r="I826" s="248">
        <v>62.1</v>
      </c>
      <c r="J826" s="110">
        <v>2512.91</v>
      </c>
      <c r="K826" s="128">
        <v>62.1</v>
      </c>
      <c r="L826" s="110">
        <v>2512.91</v>
      </c>
      <c r="M826" s="146">
        <v>0.024712385242607177</v>
      </c>
      <c r="N826" s="562">
        <v>223.6</v>
      </c>
      <c r="O826" s="148">
        <v>5.525689340246965</v>
      </c>
      <c r="P826" s="148">
        <v>1482.7431145564308</v>
      </c>
      <c r="Q826" s="149">
        <v>331.5413604148179</v>
      </c>
      <c r="S826" s="80"/>
      <c r="T826" s="80"/>
    </row>
    <row r="827" spans="1:20" ht="12.75">
      <c r="A827" s="926"/>
      <c r="B827" s="35">
        <v>7</v>
      </c>
      <c r="C827" s="34" t="s">
        <v>987</v>
      </c>
      <c r="D827" s="35">
        <v>80</v>
      </c>
      <c r="E827" s="35" t="s">
        <v>113</v>
      </c>
      <c r="F827" s="248">
        <v>116.3</v>
      </c>
      <c r="G827" s="248">
        <v>5.97</v>
      </c>
      <c r="H827" s="248">
        <v>12.88</v>
      </c>
      <c r="I827" s="248">
        <v>97.45</v>
      </c>
      <c r="J827" s="110">
        <v>3898.3</v>
      </c>
      <c r="K827" s="128">
        <v>85.2</v>
      </c>
      <c r="L827" s="110">
        <v>3435.94</v>
      </c>
      <c r="M827" s="146">
        <v>0.024796707742277223</v>
      </c>
      <c r="N827" s="562">
        <v>223.6</v>
      </c>
      <c r="O827" s="148">
        <v>5.544543851173187</v>
      </c>
      <c r="P827" s="148">
        <v>1487.8024645366334</v>
      </c>
      <c r="Q827" s="149">
        <v>332.6726310703912</v>
      </c>
      <c r="S827" s="80"/>
      <c r="T827" s="80"/>
    </row>
    <row r="828" spans="1:20" ht="12.75">
      <c r="A828" s="926"/>
      <c r="B828" s="35">
        <v>8</v>
      </c>
      <c r="C828" s="34" t="s">
        <v>988</v>
      </c>
      <c r="D828" s="35">
        <v>45</v>
      </c>
      <c r="E828" s="35" t="s">
        <v>113</v>
      </c>
      <c r="F828" s="248">
        <v>72.40599999999999</v>
      </c>
      <c r="G828" s="248">
        <v>3.97</v>
      </c>
      <c r="H828" s="248">
        <v>7.34</v>
      </c>
      <c r="I828" s="248">
        <v>61.096</v>
      </c>
      <c r="J828" s="110">
        <v>2356.23</v>
      </c>
      <c r="K828" s="128">
        <v>61.096</v>
      </c>
      <c r="L828" s="110">
        <v>2356.23</v>
      </c>
      <c r="M828" s="146">
        <v>0.0259295569617567</v>
      </c>
      <c r="N828" s="562">
        <v>223.6</v>
      </c>
      <c r="O828" s="148">
        <v>5.797848936648799</v>
      </c>
      <c r="P828" s="148">
        <v>1555.7734177054022</v>
      </c>
      <c r="Q828" s="149">
        <v>347.87093619892795</v>
      </c>
      <c r="S828" s="80"/>
      <c r="T828" s="80"/>
    </row>
    <row r="829" spans="1:20" ht="12.75">
      <c r="A829" s="926"/>
      <c r="B829" s="35">
        <v>9</v>
      </c>
      <c r="C829" s="34" t="s">
        <v>989</v>
      </c>
      <c r="D829" s="35">
        <v>60</v>
      </c>
      <c r="E829" s="35" t="s">
        <v>113</v>
      </c>
      <c r="F829" s="183">
        <v>79.37</v>
      </c>
      <c r="G829" s="183">
        <v>3.49</v>
      </c>
      <c r="H829" s="183">
        <v>9.78</v>
      </c>
      <c r="I829" s="183">
        <v>66.1</v>
      </c>
      <c r="J829" s="110">
        <v>2404.54</v>
      </c>
      <c r="K829" s="809">
        <v>66.1</v>
      </c>
      <c r="L829" s="110">
        <v>2404.54</v>
      </c>
      <c r="M829" s="146">
        <v>0.027489665382983853</v>
      </c>
      <c r="N829" s="562">
        <v>223.6</v>
      </c>
      <c r="O829" s="148">
        <v>6.14668917963519</v>
      </c>
      <c r="P829" s="148">
        <v>1649.379922979031</v>
      </c>
      <c r="Q829" s="149">
        <v>368.8013507781114</v>
      </c>
      <c r="S829" s="80"/>
      <c r="T829" s="80"/>
    </row>
    <row r="830" spans="1:20" ht="13.5" customHeight="1" thickBot="1">
      <c r="A830" s="927"/>
      <c r="B830" s="37">
        <v>10</v>
      </c>
      <c r="C830" s="641" t="s">
        <v>990</v>
      </c>
      <c r="D830" s="61">
        <v>45</v>
      </c>
      <c r="E830" s="61" t="s">
        <v>113</v>
      </c>
      <c r="F830" s="642">
        <v>76.51</v>
      </c>
      <c r="G830" s="837">
        <v>3.87</v>
      </c>
      <c r="H830" s="837">
        <v>7.34</v>
      </c>
      <c r="I830" s="837">
        <v>65.3</v>
      </c>
      <c r="J830" s="398">
        <v>2336.24</v>
      </c>
      <c r="K830" s="644">
        <v>65.3</v>
      </c>
      <c r="L830" s="398">
        <v>2336.24</v>
      </c>
      <c r="M830" s="829">
        <v>0.02795089545594631</v>
      </c>
      <c r="N830" s="830">
        <v>223.6</v>
      </c>
      <c r="O830" s="831">
        <v>6.249820223949595</v>
      </c>
      <c r="P830" s="831">
        <v>1677.0537273567784</v>
      </c>
      <c r="Q830" s="832">
        <v>374.9892134369756</v>
      </c>
      <c r="S830" s="80"/>
      <c r="T830" s="80"/>
    </row>
    <row r="831" spans="1:20" ht="12.75">
      <c r="A831" s="917" t="s">
        <v>30</v>
      </c>
      <c r="B831" s="262">
        <v>1</v>
      </c>
      <c r="C831" s="254" t="s">
        <v>991</v>
      </c>
      <c r="D831" s="218">
        <v>20</v>
      </c>
      <c r="E831" s="218" t="s">
        <v>113</v>
      </c>
      <c r="F831" s="389">
        <v>34.7</v>
      </c>
      <c r="G831" s="389">
        <v>1.54</v>
      </c>
      <c r="H831" s="389">
        <v>3.26</v>
      </c>
      <c r="I831" s="389">
        <v>29.9</v>
      </c>
      <c r="J831" s="399">
        <v>1055.4</v>
      </c>
      <c r="K831" s="409">
        <v>29.9</v>
      </c>
      <c r="L831" s="399">
        <v>1055.4</v>
      </c>
      <c r="M831" s="1062">
        <v>0.028330490809171875</v>
      </c>
      <c r="N831" s="1063">
        <v>223.6</v>
      </c>
      <c r="O831" s="1064">
        <v>6.334697744930831</v>
      </c>
      <c r="P831" s="1064">
        <v>1699.8294485503125</v>
      </c>
      <c r="Q831" s="1065">
        <v>380.08186469584984</v>
      </c>
      <c r="S831" s="80"/>
      <c r="T831" s="80"/>
    </row>
    <row r="832" spans="1:20" ht="12.75">
      <c r="A832" s="918"/>
      <c r="B832" s="219">
        <v>2</v>
      </c>
      <c r="C832" s="256" t="s">
        <v>992</v>
      </c>
      <c r="D832" s="219">
        <v>20</v>
      </c>
      <c r="E832" s="219" t="s">
        <v>113</v>
      </c>
      <c r="F832" s="270">
        <v>34.9</v>
      </c>
      <c r="G832" s="270">
        <v>1.68</v>
      </c>
      <c r="H832" s="270">
        <v>3.26</v>
      </c>
      <c r="I832" s="270">
        <v>29.96</v>
      </c>
      <c r="J832" s="261">
        <v>1042.41</v>
      </c>
      <c r="K832" s="272">
        <v>29.96</v>
      </c>
      <c r="L832" s="261">
        <v>1042.41</v>
      </c>
      <c r="M832" s="358">
        <v>0.028741090357920586</v>
      </c>
      <c r="N832" s="1066">
        <v>223.6</v>
      </c>
      <c r="O832" s="347">
        <v>6.426507804031043</v>
      </c>
      <c r="P832" s="347">
        <v>1724.465421475235</v>
      </c>
      <c r="Q832" s="460">
        <v>385.59046824186254</v>
      </c>
      <c r="S832" s="80"/>
      <c r="T832" s="80"/>
    </row>
    <row r="833" spans="1:20" ht="12.75">
      <c r="A833" s="918"/>
      <c r="B833" s="219">
        <v>3</v>
      </c>
      <c r="C833" s="256" t="s">
        <v>993</v>
      </c>
      <c r="D833" s="219">
        <v>85</v>
      </c>
      <c r="E833" s="219" t="s">
        <v>113</v>
      </c>
      <c r="F833" s="270">
        <v>138.24</v>
      </c>
      <c r="G833" s="270">
        <v>8.42</v>
      </c>
      <c r="H833" s="270">
        <v>13.86</v>
      </c>
      <c r="I833" s="270">
        <v>115.96</v>
      </c>
      <c r="J833" s="261">
        <v>3854.08</v>
      </c>
      <c r="K833" s="272">
        <v>113.69</v>
      </c>
      <c r="L833" s="261">
        <v>3854.08</v>
      </c>
      <c r="M833" s="358">
        <v>0.029498609266024576</v>
      </c>
      <c r="N833" s="1066">
        <v>223.6</v>
      </c>
      <c r="O833" s="347">
        <v>6.595889031883095</v>
      </c>
      <c r="P833" s="347">
        <v>1769.9165559614744</v>
      </c>
      <c r="Q833" s="460">
        <v>395.75334191298566</v>
      </c>
      <c r="S833" s="80"/>
      <c r="T833" s="80"/>
    </row>
    <row r="834" spans="1:20" ht="12.75">
      <c r="A834" s="918"/>
      <c r="B834" s="219">
        <v>4</v>
      </c>
      <c r="C834" s="256" t="s">
        <v>994</v>
      </c>
      <c r="D834" s="219">
        <v>107</v>
      </c>
      <c r="E834" s="219" t="s">
        <v>113</v>
      </c>
      <c r="F834" s="270">
        <v>102.97</v>
      </c>
      <c r="G834" s="270">
        <v>3.77</v>
      </c>
      <c r="H834" s="270">
        <v>17.4</v>
      </c>
      <c r="I834" s="270">
        <v>81.8</v>
      </c>
      <c r="J834" s="261">
        <v>2639.07</v>
      </c>
      <c r="K834" s="272">
        <v>75.14</v>
      </c>
      <c r="L834" s="261">
        <v>2507.08</v>
      </c>
      <c r="M834" s="358">
        <v>0.029971121783110233</v>
      </c>
      <c r="N834" s="1066">
        <v>223.6</v>
      </c>
      <c r="O834" s="347">
        <v>6.701542830703448</v>
      </c>
      <c r="P834" s="347">
        <v>1798.267306986614</v>
      </c>
      <c r="Q834" s="460">
        <v>402.09256984220684</v>
      </c>
      <c r="S834" s="80"/>
      <c r="T834" s="80"/>
    </row>
    <row r="835" spans="1:20" ht="12.75">
      <c r="A835" s="918"/>
      <c r="B835" s="219">
        <v>5</v>
      </c>
      <c r="C835" s="256" t="s">
        <v>995</v>
      </c>
      <c r="D835" s="219">
        <v>24</v>
      </c>
      <c r="E835" s="219" t="s">
        <v>113</v>
      </c>
      <c r="F835" s="270">
        <v>35.914</v>
      </c>
      <c r="G835" s="1067">
        <v>1.53</v>
      </c>
      <c r="H835" s="1067">
        <v>0.234</v>
      </c>
      <c r="I835" s="1067">
        <v>34.15</v>
      </c>
      <c r="J835" s="261">
        <v>1111.86</v>
      </c>
      <c r="K835" s="272">
        <v>29.76</v>
      </c>
      <c r="L835" s="261">
        <v>980.15</v>
      </c>
      <c r="M835" s="358">
        <v>0.03036269958679794</v>
      </c>
      <c r="N835" s="1066">
        <v>223.6</v>
      </c>
      <c r="O835" s="347">
        <v>6.789099627608019</v>
      </c>
      <c r="P835" s="347">
        <v>1821.7619752078765</v>
      </c>
      <c r="Q835" s="460">
        <v>407.3459776564811</v>
      </c>
      <c r="S835" s="80"/>
      <c r="T835" s="80"/>
    </row>
    <row r="836" spans="1:20" ht="12.75">
      <c r="A836" s="918"/>
      <c r="B836" s="219">
        <v>6</v>
      </c>
      <c r="C836" s="256" t="s">
        <v>996</v>
      </c>
      <c r="D836" s="219">
        <v>20</v>
      </c>
      <c r="E836" s="219" t="s">
        <v>113</v>
      </c>
      <c r="F836" s="270">
        <v>36.33</v>
      </c>
      <c r="G836" s="1067">
        <v>1.78</v>
      </c>
      <c r="H836" s="1067">
        <v>3.27</v>
      </c>
      <c r="I836" s="1067">
        <v>31.28</v>
      </c>
      <c r="J836" s="261">
        <v>957.78</v>
      </c>
      <c r="K836" s="272">
        <v>29.1</v>
      </c>
      <c r="L836" s="261">
        <v>957.78</v>
      </c>
      <c r="M836" s="358">
        <v>0.030382760132807118</v>
      </c>
      <c r="N836" s="1066">
        <v>223.6</v>
      </c>
      <c r="O836" s="347">
        <v>6.793585165695672</v>
      </c>
      <c r="P836" s="347">
        <v>1822.965607968427</v>
      </c>
      <c r="Q836" s="460">
        <v>407.6151099417403</v>
      </c>
      <c r="S836" s="80"/>
      <c r="T836" s="80"/>
    </row>
    <row r="837" spans="1:20" ht="12.75">
      <c r="A837" s="918"/>
      <c r="B837" s="219">
        <v>7</v>
      </c>
      <c r="C837" s="256" t="s">
        <v>997</v>
      </c>
      <c r="D837" s="219">
        <v>42</v>
      </c>
      <c r="E837" s="219" t="s">
        <v>113</v>
      </c>
      <c r="F837" s="270">
        <v>63.988</v>
      </c>
      <c r="G837" s="1067">
        <v>3.08</v>
      </c>
      <c r="H837" s="1067">
        <v>0.438</v>
      </c>
      <c r="I837" s="1067">
        <v>60.47</v>
      </c>
      <c r="J837" s="261">
        <v>1954.43</v>
      </c>
      <c r="K837" s="272">
        <v>58.6</v>
      </c>
      <c r="L837" s="261">
        <v>1864.61</v>
      </c>
      <c r="M837" s="358">
        <v>0.03142748349520812</v>
      </c>
      <c r="N837" s="1066">
        <v>223.6</v>
      </c>
      <c r="O837" s="347">
        <v>7.027185309528535</v>
      </c>
      <c r="P837" s="347">
        <v>1885.649009712487</v>
      </c>
      <c r="Q837" s="460">
        <v>421.6311185717121</v>
      </c>
      <c r="S837" s="80"/>
      <c r="T837" s="80"/>
    </row>
    <row r="838" spans="1:20" ht="12.75">
      <c r="A838" s="918"/>
      <c r="B838" s="219">
        <v>8</v>
      </c>
      <c r="C838" s="256" t="s">
        <v>998</v>
      </c>
      <c r="D838" s="219">
        <v>41</v>
      </c>
      <c r="E838" s="219" t="s">
        <v>113</v>
      </c>
      <c r="F838" s="270">
        <v>64.24</v>
      </c>
      <c r="G838" s="1067">
        <v>2.96</v>
      </c>
      <c r="H838" s="1067">
        <v>0.45</v>
      </c>
      <c r="I838" s="1067">
        <v>60.83</v>
      </c>
      <c r="J838" s="261">
        <v>1881.35</v>
      </c>
      <c r="K838" s="272">
        <v>56.4</v>
      </c>
      <c r="L838" s="261">
        <v>1747.62</v>
      </c>
      <c r="M838" s="358">
        <v>0.032272461976859956</v>
      </c>
      <c r="N838" s="1066">
        <v>223.6</v>
      </c>
      <c r="O838" s="347">
        <v>7.216122498025886</v>
      </c>
      <c r="P838" s="347">
        <v>1936.3477186115974</v>
      </c>
      <c r="Q838" s="460">
        <v>432.96734988155316</v>
      </c>
      <c r="S838" s="80"/>
      <c r="T838" s="80"/>
    </row>
    <row r="839" spans="1:20" ht="12.75">
      <c r="A839" s="918"/>
      <c r="B839" s="219">
        <v>9</v>
      </c>
      <c r="C839" s="256" t="s">
        <v>999</v>
      </c>
      <c r="D839" s="219">
        <v>44</v>
      </c>
      <c r="E839" s="219" t="s">
        <v>113</v>
      </c>
      <c r="F839" s="270">
        <v>69.06</v>
      </c>
      <c r="G839" s="1067">
        <v>2.81</v>
      </c>
      <c r="H839" s="1067">
        <v>0.45</v>
      </c>
      <c r="I839" s="1067">
        <v>65.8</v>
      </c>
      <c r="J839" s="261">
        <v>1849.35</v>
      </c>
      <c r="K839" s="272">
        <v>58.45</v>
      </c>
      <c r="L839" s="261">
        <v>1758.48</v>
      </c>
      <c r="M839" s="358">
        <v>0.033238933624493885</v>
      </c>
      <c r="N839" s="1066">
        <v>223.6</v>
      </c>
      <c r="O839" s="347">
        <v>7.432225558436833</v>
      </c>
      <c r="P839" s="347">
        <v>1994.3360174696331</v>
      </c>
      <c r="Q839" s="460">
        <v>445.93353350621</v>
      </c>
      <c r="S839" s="80"/>
      <c r="T839" s="80"/>
    </row>
    <row r="840" spans="1:20" ht="13.5" thickBot="1">
      <c r="A840" s="919"/>
      <c r="B840" s="232">
        <v>10</v>
      </c>
      <c r="C840" s="281" t="s">
        <v>1000</v>
      </c>
      <c r="D840" s="231">
        <v>22</v>
      </c>
      <c r="E840" s="231" t="s">
        <v>113</v>
      </c>
      <c r="F840" s="393">
        <v>33.7</v>
      </c>
      <c r="G840" s="393">
        <v>0.9</v>
      </c>
      <c r="H840" s="393">
        <v>0.2</v>
      </c>
      <c r="I840" s="393">
        <v>32.6</v>
      </c>
      <c r="J840" s="400">
        <v>896.35</v>
      </c>
      <c r="K840" s="411">
        <v>22.4</v>
      </c>
      <c r="L840" s="400">
        <v>669.04</v>
      </c>
      <c r="M840" s="461">
        <v>0.03348080832237235</v>
      </c>
      <c r="N840" s="1068">
        <v>223.6</v>
      </c>
      <c r="O840" s="462">
        <v>7.486308740882458</v>
      </c>
      <c r="P840" s="462">
        <v>2008.8484993423413</v>
      </c>
      <c r="Q840" s="463">
        <v>449.1785244529475</v>
      </c>
      <c r="S840" s="80"/>
      <c r="T840" s="80"/>
    </row>
    <row r="841" spans="1:20" ht="12.75">
      <c r="A841" s="928" t="s">
        <v>12</v>
      </c>
      <c r="B841" s="73">
        <v>1</v>
      </c>
      <c r="C841" s="225" t="s">
        <v>1001</v>
      </c>
      <c r="D841" s="38">
        <v>41</v>
      </c>
      <c r="E841" s="38" t="s">
        <v>113</v>
      </c>
      <c r="F841" s="394">
        <v>32.904</v>
      </c>
      <c r="G841" s="838">
        <v>2.03</v>
      </c>
      <c r="H841" s="838">
        <v>0.204</v>
      </c>
      <c r="I841" s="838">
        <v>30.67</v>
      </c>
      <c r="J841" s="334">
        <v>910.85</v>
      </c>
      <c r="K841" s="414">
        <v>29.14</v>
      </c>
      <c r="L841" s="334">
        <v>867.57</v>
      </c>
      <c r="M841" s="464">
        <v>0.0335880678216167</v>
      </c>
      <c r="N841" s="822">
        <v>223.6</v>
      </c>
      <c r="O841" s="466">
        <v>7.510291964913494</v>
      </c>
      <c r="P841" s="466">
        <v>2015.2840692970017</v>
      </c>
      <c r="Q841" s="467">
        <v>450.61751789480957</v>
      </c>
      <c r="S841" s="80"/>
      <c r="T841" s="80"/>
    </row>
    <row r="842" spans="1:20" ht="12.75">
      <c r="A842" s="930"/>
      <c r="B842" s="40">
        <v>2</v>
      </c>
      <c r="C842" s="45" t="s">
        <v>1002</v>
      </c>
      <c r="D842" s="40">
        <v>14</v>
      </c>
      <c r="E842" s="40" t="s">
        <v>113</v>
      </c>
      <c r="F842" s="172">
        <v>21.79</v>
      </c>
      <c r="G842" s="172">
        <v>0.56</v>
      </c>
      <c r="H842" s="172">
        <v>0.13</v>
      </c>
      <c r="I842" s="172">
        <v>21.1</v>
      </c>
      <c r="J842" s="297">
        <v>624.59</v>
      </c>
      <c r="K842" s="214">
        <v>21.1</v>
      </c>
      <c r="L842" s="297">
        <v>624.59</v>
      </c>
      <c r="M842" s="150">
        <v>0.03378216109768008</v>
      </c>
      <c r="N842" s="177">
        <v>223.6</v>
      </c>
      <c r="O842" s="152">
        <v>7.553691221441265</v>
      </c>
      <c r="P842" s="152">
        <v>2026.9296658608048</v>
      </c>
      <c r="Q842" s="153">
        <v>453.22147328647594</v>
      </c>
      <c r="S842" s="80"/>
      <c r="T842" s="80"/>
    </row>
    <row r="843" spans="1:20" ht="12.75">
      <c r="A843" s="930"/>
      <c r="B843" s="40">
        <v>3</v>
      </c>
      <c r="C843" s="45" t="s">
        <v>1003</v>
      </c>
      <c r="D843" s="40">
        <v>24</v>
      </c>
      <c r="E843" s="40" t="s">
        <v>113</v>
      </c>
      <c r="F843" s="172">
        <v>32.87</v>
      </c>
      <c r="G843" s="172">
        <v>1.22</v>
      </c>
      <c r="H843" s="172">
        <v>0.25</v>
      </c>
      <c r="I843" s="172">
        <v>31.4</v>
      </c>
      <c r="J843" s="297">
        <v>924.4</v>
      </c>
      <c r="K843" s="214">
        <v>31.4</v>
      </c>
      <c r="L843" s="297">
        <v>924.4</v>
      </c>
      <c r="M843" s="150">
        <v>0.03396797922977066</v>
      </c>
      <c r="N843" s="177">
        <v>223.6</v>
      </c>
      <c r="O843" s="152">
        <v>7.59524015577672</v>
      </c>
      <c r="P843" s="152">
        <v>2038.0787537862398</v>
      </c>
      <c r="Q843" s="153">
        <v>455.7144093466032</v>
      </c>
      <c r="S843" s="80"/>
      <c r="T843" s="80"/>
    </row>
    <row r="844" spans="1:20" ht="12.75">
      <c r="A844" s="930"/>
      <c r="B844" s="40">
        <v>4</v>
      </c>
      <c r="C844" s="45" t="s">
        <v>1004</v>
      </c>
      <c r="D844" s="40">
        <v>31</v>
      </c>
      <c r="E844" s="40" t="s">
        <v>113</v>
      </c>
      <c r="F844" s="172">
        <v>55.97</v>
      </c>
      <c r="G844" s="172">
        <v>1.94</v>
      </c>
      <c r="H844" s="172">
        <v>2.53</v>
      </c>
      <c r="I844" s="172">
        <v>51.5</v>
      </c>
      <c r="J844" s="297">
        <v>1226.64</v>
      </c>
      <c r="K844" s="214">
        <v>42.8</v>
      </c>
      <c r="L844" s="297">
        <v>1202.59</v>
      </c>
      <c r="M844" s="150">
        <v>0.035589851902976075</v>
      </c>
      <c r="N844" s="177">
        <v>223.6</v>
      </c>
      <c r="O844" s="152">
        <v>7.95789088550545</v>
      </c>
      <c r="P844" s="152">
        <v>2135.3911141785647</v>
      </c>
      <c r="Q844" s="153">
        <v>477.4734531303271</v>
      </c>
      <c r="S844" s="80"/>
      <c r="T844" s="80"/>
    </row>
    <row r="845" spans="1:20" ht="12.75">
      <c r="A845" s="930"/>
      <c r="B845" s="40">
        <v>5</v>
      </c>
      <c r="C845" s="45" t="s">
        <v>1005</v>
      </c>
      <c r="D845" s="40">
        <v>42</v>
      </c>
      <c r="E845" s="40" t="s">
        <v>113</v>
      </c>
      <c r="F845" s="172">
        <v>47.01</v>
      </c>
      <c r="G845" s="172">
        <v>1.94</v>
      </c>
      <c r="H845" s="172">
        <v>0.37</v>
      </c>
      <c r="I845" s="172">
        <v>44.7</v>
      </c>
      <c r="J845" s="297">
        <v>1469.95</v>
      </c>
      <c r="K845" s="214">
        <v>38.87</v>
      </c>
      <c r="L845" s="297">
        <v>1078.77</v>
      </c>
      <c r="M845" s="150">
        <v>0.03603177693113453</v>
      </c>
      <c r="N845" s="177">
        <v>223.6</v>
      </c>
      <c r="O845" s="152">
        <v>8.056705321801681</v>
      </c>
      <c r="P845" s="152">
        <v>2161.9066158680716</v>
      </c>
      <c r="Q845" s="153">
        <v>483.4023193081008</v>
      </c>
      <c r="S845" s="80"/>
      <c r="T845" s="80"/>
    </row>
    <row r="846" spans="1:20" ht="12.75">
      <c r="A846" s="930"/>
      <c r="B846" s="40">
        <v>6</v>
      </c>
      <c r="C846" s="45" t="s">
        <v>1006</v>
      </c>
      <c r="D846" s="40">
        <v>20</v>
      </c>
      <c r="E846" s="40" t="s">
        <v>113</v>
      </c>
      <c r="F846" s="172">
        <v>18.68</v>
      </c>
      <c r="G846" s="172">
        <v>0.56</v>
      </c>
      <c r="H846" s="172">
        <v>0.18</v>
      </c>
      <c r="I846" s="172">
        <v>25.66</v>
      </c>
      <c r="J846" s="297">
        <v>613.67</v>
      </c>
      <c r="K846" s="214">
        <v>19.69</v>
      </c>
      <c r="L846" s="297">
        <v>476.15</v>
      </c>
      <c r="M846" s="150">
        <v>0.04135251496377192</v>
      </c>
      <c r="N846" s="177">
        <v>223.6</v>
      </c>
      <c r="O846" s="152">
        <v>9.246422345899402</v>
      </c>
      <c r="P846" s="152">
        <v>2481.1508978263155</v>
      </c>
      <c r="Q846" s="153">
        <v>554.7853407539642</v>
      </c>
      <c r="S846" s="80"/>
      <c r="T846" s="80"/>
    </row>
    <row r="847" spans="1:20" ht="12.75">
      <c r="A847" s="930"/>
      <c r="B847" s="40">
        <v>7</v>
      </c>
      <c r="C847" s="559" t="s">
        <v>1007</v>
      </c>
      <c r="D847" s="560">
        <v>4</v>
      </c>
      <c r="E847" s="560" t="s">
        <v>113</v>
      </c>
      <c r="F847" s="423">
        <v>13.8</v>
      </c>
      <c r="G847" s="423">
        <v>0.56</v>
      </c>
      <c r="H847" s="423">
        <v>0.65</v>
      </c>
      <c r="I847" s="423">
        <v>12.59</v>
      </c>
      <c r="J847" s="571">
        <v>258.86</v>
      </c>
      <c r="K847" s="592">
        <v>12.59</v>
      </c>
      <c r="L847" s="561">
        <v>258.86</v>
      </c>
      <c r="M847" s="833">
        <v>0.04863632851734528</v>
      </c>
      <c r="N847" s="834">
        <v>223.6</v>
      </c>
      <c r="O847" s="835">
        <v>10.875083056478404</v>
      </c>
      <c r="P847" s="835">
        <v>2918.179711040717</v>
      </c>
      <c r="Q847" s="836">
        <v>652.5049833887042</v>
      </c>
      <c r="S847" s="80"/>
      <c r="T847" s="80"/>
    </row>
    <row r="848" spans="1:20" ht="12.75">
      <c r="A848" s="930"/>
      <c r="B848" s="40">
        <v>8</v>
      </c>
      <c r="C848" s="45"/>
      <c r="D848" s="40"/>
      <c r="E848" s="40"/>
      <c r="F848" s="172"/>
      <c r="G848" s="172"/>
      <c r="H848" s="172"/>
      <c r="I848" s="172"/>
      <c r="J848" s="297"/>
      <c r="K848" s="214"/>
      <c r="L848" s="297"/>
      <c r="M848" s="214"/>
      <c r="N848" s="290"/>
      <c r="O848" s="290"/>
      <c r="P848" s="290"/>
      <c r="Q848" s="290"/>
      <c r="S848" s="80"/>
      <c r="T848" s="80"/>
    </row>
    <row r="849" spans="1:20" ht="12.75">
      <c r="A849" s="930"/>
      <c r="B849" s="40">
        <v>9</v>
      </c>
      <c r="C849" s="75"/>
      <c r="D849" s="40"/>
      <c r="E849" s="40"/>
      <c r="F849" s="172"/>
      <c r="G849" s="172"/>
      <c r="H849" s="172"/>
      <c r="I849" s="172"/>
      <c r="J849" s="297"/>
      <c r="K849" s="172"/>
      <c r="L849" s="297"/>
      <c r="M849" s="214"/>
      <c r="N849" s="40"/>
      <c r="O849" s="290"/>
      <c r="P849" s="290"/>
      <c r="Q849" s="291"/>
      <c r="S849" s="80"/>
      <c r="T849" s="80"/>
    </row>
    <row r="850" spans="1:20" ht="13.5" thickBot="1">
      <c r="A850" s="931"/>
      <c r="B850" s="42">
        <v>10</v>
      </c>
      <c r="C850" s="72"/>
      <c r="D850" s="42"/>
      <c r="E850" s="42"/>
      <c r="F850" s="215"/>
      <c r="G850" s="215"/>
      <c r="H850" s="215"/>
      <c r="I850" s="215"/>
      <c r="J850" s="568"/>
      <c r="K850" s="215"/>
      <c r="L850" s="333"/>
      <c r="M850" s="217"/>
      <c r="N850" s="42"/>
      <c r="O850" s="216"/>
      <c r="P850" s="216"/>
      <c r="Q850" s="288"/>
      <c r="S850" s="80"/>
      <c r="T850" s="80"/>
    </row>
    <row r="851" spans="19:20" ht="12.75">
      <c r="S851" s="80"/>
      <c r="T851" s="80"/>
    </row>
    <row r="852" spans="19:20" ht="12.75">
      <c r="S852" s="80"/>
      <c r="T852" s="80"/>
    </row>
    <row r="853" spans="1:20" ht="15">
      <c r="A853" s="907" t="s">
        <v>57</v>
      </c>
      <c r="B853" s="907"/>
      <c r="C853" s="907"/>
      <c r="D853" s="907"/>
      <c r="E853" s="907"/>
      <c r="F853" s="907"/>
      <c r="G853" s="907"/>
      <c r="H853" s="907"/>
      <c r="I853" s="907"/>
      <c r="J853" s="907"/>
      <c r="K853" s="907"/>
      <c r="L853" s="907"/>
      <c r="M853" s="907"/>
      <c r="N853" s="907"/>
      <c r="O853" s="907"/>
      <c r="P853" s="907"/>
      <c r="Q853" s="907"/>
      <c r="S853" s="80"/>
      <c r="T853" s="80"/>
    </row>
    <row r="854" spans="1:20" ht="13.5" thickBot="1">
      <c r="A854" s="934" t="s">
        <v>707</v>
      </c>
      <c r="B854" s="934"/>
      <c r="C854" s="934"/>
      <c r="D854" s="934"/>
      <c r="E854" s="934"/>
      <c r="F854" s="934"/>
      <c r="G854" s="934"/>
      <c r="H854" s="934"/>
      <c r="I854" s="934"/>
      <c r="J854" s="934"/>
      <c r="K854" s="934"/>
      <c r="L854" s="934"/>
      <c r="M854" s="934"/>
      <c r="N854" s="934"/>
      <c r="O854" s="934"/>
      <c r="P854" s="934"/>
      <c r="Q854" s="934"/>
      <c r="S854" s="80"/>
      <c r="T854" s="80"/>
    </row>
    <row r="855" spans="1:20" ht="12.75" customHeight="1">
      <c r="A855" s="885" t="s">
        <v>1</v>
      </c>
      <c r="B855" s="908" t="s">
        <v>0</v>
      </c>
      <c r="C855" s="880" t="s">
        <v>2</v>
      </c>
      <c r="D855" s="880" t="s">
        <v>3</v>
      </c>
      <c r="E855" s="880" t="s">
        <v>13</v>
      </c>
      <c r="F855" s="911" t="s">
        <v>14</v>
      </c>
      <c r="G855" s="912"/>
      <c r="H855" s="912"/>
      <c r="I855" s="913"/>
      <c r="J855" s="880" t="s">
        <v>4</v>
      </c>
      <c r="K855" s="880" t="s">
        <v>15</v>
      </c>
      <c r="L855" s="880" t="s">
        <v>5</v>
      </c>
      <c r="M855" s="880" t="s">
        <v>6</v>
      </c>
      <c r="N855" s="880" t="s">
        <v>16</v>
      </c>
      <c r="O855" s="880" t="s">
        <v>17</v>
      </c>
      <c r="P855" s="920" t="s">
        <v>25</v>
      </c>
      <c r="Q855" s="890" t="s">
        <v>26</v>
      </c>
      <c r="S855" s="80"/>
      <c r="T855" s="80"/>
    </row>
    <row r="856" spans="1:20" s="2" customFormat="1" ht="33.75">
      <c r="A856" s="886"/>
      <c r="B856" s="909"/>
      <c r="C856" s="888"/>
      <c r="D856" s="881"/>
      <c r="E856" s="881"/>
      <c r="F856" s="36" t="s">
        <v>18</v>
      </c>
      <c r="G856" s="36" t="s">
        <v>19</v>
      </c>
      <c r="H856" s="36" t="s">
        <v>20</v>
      </c>
      <c r="I856" s="36" t="s">
        <v>21</v>
      </c>
      <c r="J856" s="881"/>
      <c r="K856" s="881"/>
      <c r="L856" s="881"/>
      <c r="M856" s="881"/>
      <c r="N856" s="881"/>
      <c r="O856" s="881"/>
      <c r="P856" s="921"/>
      <c r="Q856" s="891"/>
      <c r="S856" s="80"/>
      <c r="T856" s="80"/>
    </row>
    <row r="857" spans="1:20" s="3" customFormat="1" ht="13.5" customHeight="1" thickBot="1">
      <c r="A857" s="886"/>
      <c r="B857" s="909"/>
      <c r="C857" s="889"/>
      <c r="D857" s="52" t="s">
        <v>7</v>
      </c>
      <c r="E857" s="52" t="s">
        <v>8</v>
      </c>
      <c r="F857" s="52" t="s">
        <v>9</v>
      </c>
      <c r="G857" s="52" t="s">
        <v>9</v>
      </c>
      <c r="H857" s="52" t="s">
        <v>9</v>
      </c>
      <c r="I857" s="52" t="s">
        <v>9</v>
      </c>
      <c r="J857" s="52" t="s">
        <v>22</v>
      </c>
      <c r="K857" s="52" t="s">
        <v>9</v>
      </c>
      <c r="L857" s="52" t="s">
        <v>22</v>
      </c>
      <c r="M857" s="52" t="s">
        <v>23</v>
      </c>
      <c r="N857" s="52" t="s">
        <v>10</v>
      </c>
      <c r="O857" s="52" t="s">
        <v>24</v>
      </c>
      <c r="P857" s="59" t="s">
        <v>27</v>
      </c>
      <c r="Q857" s="54" t="s">
        <v>28</v>
      </c>
      <c r="S857" s="80"/>
      <c r="T857" s="80"/>
    </row>
    <row r="858" spans="1:20" s="88" customFormat="1" ht="12.75" customHeight="1">
      <c r="A858" s="947" t="s">
        <v>11</v>
      </c>
      <c r="B858" s="90">
        <v>1</v>
      </c>
      <c r="C858" s="16" t="s">
        <v>708</v>
      </c>
      <c r="D858" s="31">
        <v>40</v>
      </c>
      <c r="E858" s="31" t="s">
        <v>709</v>
      </c>
      <c r="F858" s="135">
        <v>31.4</v>
      </c>
      <c r="G858" s="135">
        <v>4.024</v>
      </c>
      <c r="H858" s="135">
        <v>6.4</v>
      </c>
      <c r="I858" s="135">
        <v>20.962</v>
      </c>
      <c r="J858" s="163">
        <v>2254.53</v>
      </c>
      <c r="K858" s="122">
        <v>21</v>
      </c>
      <c r="L858" s="163">
        <v>2254.53</v>
      </c>
      <c r="M858" s="237">
        <f>K858/L858</f>
        <v>0.009314579978975661</v>
      </c>
      <c r="N858" s="236">
        <v>216.8</v>
      </c>
      <c r="O858" s="238">
        <f>M858*N858</f>
        <v>2.0194009394419234</v>
      </c>
      <c r="P858" s="238">
        <f>M858*60*1000</f>
        <v>558.8747987385397</v>
      </c>
      <c r="Q858" s="239">
        <f>P858*N858/1000</f>
        <v>121.16405636651541</v>
      </c>
      <c r="S858" s="80"/>
      <c r="T858" s="80"/>
    </row>
    <row r="859" spans="1:20" s="88" customFormat="1" ht="13.5" customHeight="1">
      <c r="A859" s="948"/>
      <c r="B859" s="87">
        <v>2</v>
      </c>
      <c r="C859" s="16" t="s">
        <v>710</v>
      </c>
      <c r="D859" s="31">
        <v>51</v>
      </c>
      <c r="E859" s="31" t="s">
        <v>709</v>
      </c>
      <c r="F859" s="135">
        <v>37.3</v>
      </c>
      <c r="G859" s="135">
        <v>3.819</v>
      </c>
      <c r="H859" s="135">
        <v>7.84</v>
      </c>
      <c r="I859" s="135">
        <v>25.741</v>
      </c>
      <c r="J859" s="163">
        <v>2586.98</v>
      </c>
      <c r="K859" s="122">
        <v>25.7</v>
      </c>
      <c r="L859" s="163">
        <v>2586.98</v>
      </c>
      <c r="M859" s="122">
        <f>K859/L859</f>
        <v>0.009934363620901592</v>
      </c>
      <c r="N859" s="121">
        <v>216.8</v>
      </c>
      <c r="O859" s="121">
        <f>M859*N859</f>
        <v>2.1537700330114653</v>
      </c>
      <c r="P859" s="238">
        <f>M859*60*1000</f>
        <v>596.0618172540956</v>
      </c>
      <c r="Q859" s="123">
        <f>P859*N859/1000</f>
        <v>129.22620198068793</v>
      </c>
      <c r="S859" s="80"/>
      <c r="T859" s="80"/>
    </row>
    <row r="860" spans="1:20" s="88" customFormat="1" ht="12.75" customHeight="1">
      <c r="A860" s="948"/>
      <c r="B860" s="87">
        <v>3</v>
      </c>
      <c r="C860" s="16"/>
      <c r="D860" s="31"/>
      <c r="E860" s="31"/>
      <c r="F860" s="240"/>
      <c r="G860" s="240"/>
      <c r="H860" s="240"/>
      <c r="I860" s="240"/>
      <c r="J860" s="163"/>
      <c r="K860" s="122"/>
      <c r="L860" s="163"/>
      <c r="M860" s="122"/>
      <c r="N860" s="121"/>
      <c r="O860" s="121"/>
      <c r="P860" s="238"/>
      <c r="Q860" s="123"/>
      <c r="S860" s="80"/>
      <c r="T860" s="80"/>
    </row>
    <row r="861" spans="1:20" ht="12.75" customHeight="1">
      <c r="A861" s="948"/>
      <c r="B861" s="31">
        <v>4</v>
      </c>
      <c r="C861" s="16"/>
      <c r="D861" s="31"/>
      <c r="E861" s="31"/>
      <c r="F861" s="240"/>
      <c r="G861" s="240"/>
      <c r="H861" s="240"/>
      <c r="I861" s="240"/>
      <c r="J861" s="163"/>
      <c r="K861" s="122"/>
      <c r="L861" s="163"/>
      <c r="M861" s="122"/>
      <c r="N861" s="121"/>
      <c r="O861" s="121"/>
      <c r="P861" s="238"/>
      <c r="Q861" s="123"/>
      <c r="S861" s="80"/>
      <c r="T861" s="80"/>
    </row>
    <row r="862" spans="1:20" ht="12.75" customHeight="1">
      <c r="A862" s="948"/>
      <c r="B862" s="31">
        <v>5</v>
      </c>
      <c r="C862" s="16"/>
      <c r="D862" s="31"/>
      <c r="E862" s="31"/>
      <c r="F862" s="240"/>
      <c r="G862" s="240"/>
      <c r="H862" s="240"/>
      <c r="I862" s="240"/>
      <c r="J862" s="163"/>
      <c r="K862" s="122"/>
      <c r="L862" s="163"/>
      <c r="M862" s="122"/>
      <c r="N862" s="121"/>
      <c r="O862" s="121"/>
      <c r="P862" s="238"/>
      <c r="Q862" s="123"/>
      <c r="S862" s="80"/>
      <c r="T862" s="80"/>
    </row>
    <row r="863" spans="1:20" ht="12.75" customHeight="1">
      <c r="A863" s="948"/>
      <c r="B863" s="31">
        <v>6</v>
      </c>
      <c r="C863" s="16"/>
      <c r="D863" s="31"/>
      <c r="E863" s="31"/>
      <c r="F863" s="240"/>
      <c r="G863" s="240"/>
      <c r="H863" s="240"/>
      <c r="I863" s="240"/>
      <c r="J863" s="163"/>
      <c r="K863" s="122"/>
      <c r="L863" s="163"/>
      <c r="M863" s="122"/>
      <c r="N863" s="236"/>
      <c r="O863" s="121"/>
      <c r="P863" s="238"/>
      <c r="Q863" s="123"/>
      <c r="S863" s="80"/>
      <c r="T863" s="80"/>
    </row>
    <row r="864" spans="1:20" ht="12.75" customHeight="1">
      <c r="A864" s="948"/>
      <c r="B864" s="31">
        <v>7</v>
      </c>
      <c r="C864" s="16"/>
      <c r="D864" s="31"/>
      <c r="E864" s="31"/>
      <c r="F864" s="240"/>
      <c r="G864" s="240"/>
      <c r="H864" s="240"/>
      <c r="I864" s="240"/>
      <c r="J864" s="163"/>
      <c r="K864" s="122"/>
      <c r="L864" s="163"/>
      <c r="M864" s="122"/>
      <c r="N864" s="121"/>
      <c r="O864" s="121"/>
      <c r="P864" s="238"/>
      <c r="Q864" s="123"/>
      <c r="S864" s="80"/>
      <c r="T864" s="80"/>
    </row>
    <row r="865" spans="1:20" ht="13.5" customHeight="1">
      <c r="A865" s="948"/>
      <c r="B865" s="31">
        <v>8</v>
      </c>
      <c r="C865" s="16"/>
      <c r="D865" s="31"/>
      <c r="E865" s="31"/>
      <c r="F865" s="240"/>
      <c r="G865" s="240"/>
      <c r="H865" s="240"/>
      <c r="I865" s="240"/>
      <c r="J865" s="163"/>
      <c r="K865" s="122"/>
      <c r="L865" s="163"/>
      <c r="M865" s="122"/>
      <c r="N865" s="121"/>
      <c r="O865" s="121"/>
      <c r="P865" s="238"/>
      <c r="Q865" s="123"/>
      <c r="S865" s="80"/>
      <c r="T865" s="80"/>
    </row>
    <row r="866" spans="1:20" ht="12.75" customHeight="1">
      <c r="A866" s="948"/>
      <c r="B866" s="31">
        <v>9</v>
      </c>
      <c r="C866" s="16"/>
      <c r="D866" s="31"/>
      <c r="E866" s="31"/>
      <c r="F866" s="240"/>
      <c r="G866" s="240"/>
      <c r="H866" s="240"/>
      <c r="I866" s="240"/>
      <c r="J866" s="163"/>
      <c r="K866" s="122"/>
      <c r="L866" s="163"/>
      <c r="M866" s="122"/>
      <c r="N866" s="121"/>
      <c r="O866" s="121"/>
      <c r="P866" s="238"/>
      <c r="Q866" s="123"/>
      <c r="S866" s="80"/>
      <c r="T866" s="80"/>
    </row>
    <row r="867" spans="1:20" ht="13.5" customHeight="1" thickBot="1">
      <c r="A867" s="949"/>
      <c r="B867" s="57">
        <v>10</v>
      </c>
      <c r="C867" s="58"/>
      <c r="D867" s="57"/>
      <c r="E867" s="57"/>
      <c r="F867" s="203"/>
      <c r="G867" s="203"/>
      <c r="H867" s="203"/>
      <c r="I867" s="203"/>
      <c r="J867" s="311"/>
      <c r="K867" s="125"/>
      <c r="L867" s="311"/>
      <c r="M867" s="125"/>
      <c r="N867" s="124"/>
      <c r="O867" s="425"/>
      <c r="P867" s="124"/>
      <c r="Q867" s="126"/>
      <c r="S867" s="80"/>
      <c r="T867" s="80"/>
    </row>
    <row r="868" spans="1:20" ht="12.75">
      <c r="A868" s="936" t="s">
        <v>29</v>
      </c>
      <c r="B868" s="60">
        <v>1</v>
      </c>
      <c r="C868" s="34" t="s">
        <v>711</v>
      </c>
      <c r="D868" s="35">
        <v>48</v>
      </c>
      <c r="E868" s="35" t="s">
        <v>709</v>
      </c>
      <c r="F868" s="247">
        <v>47.9</v>
      </c>
      <c r="G868" s="247">
        <v>3.75</v>
      </c>
      <c r="H868" s="247">
        <v>7.36</v>
      </c>
      <c r="I868" s="248">
        <v>36.69</v>
      </c>
      <c r="J868" s="397">
        <v>2591.49</v>
      </c>
      <c r="K868" s="405">
        <v>36.7</v>
      </c>
      <c r="L868" s="397">
        <v>2591.49</v>
      </c>
      <c r="M868" s="136">
        <f>K868/L868</f>
        <v>0.014161737070179706</v>
      </c>
      <c r="N868" s="137">
        <v>216.8</v>
      </c>
      <c r="O868" s="137">
        <f>M868*N868</f>
        <v>3.0702645968149604</v>
      </c>
      <c r="P868" s="137">
        <f>M868*60*1000</f>
        <v>849.7042242107824</v>
      </c>
      <c r="Q868" s="157">
        <f>P868*N868/1000</f>
        <v>184.21587580889764</v>
      </c>
      <c r="S868" s="80"/>
      <c r="T868" s="80"/>
    </row>
    <row r="869" spans="1:20" s="88" customFormat="1" ht="12.75">
      <c r="A869" s="926"/>
      <c r="B869" s="95">
        <v>2</v>
      </c>
      <c r="C869" s="34" t="s">
        <v>712</v>
      </c>
      <c r="D869" s="35">
        <v>32</v>
      </c>
      <c r="E869" s="35"/>
      <c r="F869" s="248">
        <v>30.1</v>
      </c>
      <c r="G869" s="248">
        <v>5.705</v>
      </c>
      <c r="H869" s="248">
        <v>0.32</v>
      </c>
      <c r="I869" s="248">
        <v>24.138</v>
      </c>
      <c r="J869" s="110">
        <v>1692.62</v>
      </c>
      <c r="K869" s="128">
        <v>24.1</v>
      </c>
      <c r="L869" s="110">
        <v>1692.62</v>
      </c>
      <c r="M869" s="136">
        <f>K869/L869</f>
        <v>0.014238281480781276</v>
      </c>
      <c r="N869" s="127">
        <v>216.8</v>
      </c>
      <c r="O869" s="137">
        <f>M869*N869</f>
        <v>3.086859425033381</v>
      </c>
      <c r="P869" s="137">
        <f>M869*60*1000</f>
        <v>854.2968888468766</v>
      </c>
      <c r="Q869" s="157">
        <f>P869*N869/1000</f>
        <v>185.21156550200286</v>
      </c>
      <c r="S869" s="89"/>
      <c r="T869" s="89"/>
    </row>
    <row r="870" spans="1:20" ht="12.75">
      <c r="A870" s="926"/>
      <c r="B870" s="35">
        <v>3</v>
      </c>
      <c r="C870" s="34" t="s">
        <v>713</v>
      </c>
      <c r="D870" s="35">
        <v>36</v>
      </c>
      <c r="E870" s="35" t="s">
        <v>709</v>
      </c>
      <c r="F870" s="248">
        <v>33.5</v>
      </c>
      <c r="G870" s="248">
        <v>3.612</v>
      </c>
      <c r="H870" s="248">
        <v>5.76</v>
      </c>
      <c r="I870" s="248">
        <v>24.128</v>
      </c>
      <c r="J870" s="110">
        <v>1500.89</v>
      </c>
      <c r="K870" s="128">
        <v>24.1</v>
      </c>
      <c r="L870" s="110">
        <v>1500.89</v>
      </c>
      <c r="M870" s="128">
        <f>K870/L870</f>
        <v>0.01605713943060451</v>
      </c>
      <c r="N870" s="127">
        <v>216.8</v>
      </c>
      <c r="O870" s="137">
        <f>M870*N870</f>
        <v>3.4811878285550577</v>
      </c>
      <c r="P870" s="137">
        <f>M870*60*1000</f>
        <v>963.4283658362706</v>
      </c>
      <c r="Q870" s="155">
        <f>P870*N870/1000</f>
        <v>208.8712697133035</v>
      </c>
      <c r="S870" s="80"/>
      <c r="T870" s="80"/>
    </row>
    <row r="871" spans="1:20" ht="12.75">
      <c r="A871" s="926"/>
      <c r="B871" s="35">
        <v>4</v>
      </c>
      <c r="C871" s="34" t="s">
        <v>714</v>
      </c>
      <c r="D871" s="35">
        <v>40</v>
      </c>
      <c r="E871" s="35"/>
      <c r="F871" s="248">
        <v>53.4</v>
      </c>
      <c r="G871" s="248">
        <v>4.737</v>
      </c>
      <c r="H871" s="248">
        <v>6.4</v>
      </c>
      <c r="I871" s="248">
        <v>42.274</v>
      </c>
      <c r="J871" s="110">
        <v>2206.8</v>
      </c>
      <c r="K871" s="128">
        <v>42.3</v>
      </c>
      <c r="L871" s="110">
        <v>2206.8</v>
      </c>
      <c r="M871" s="128">
        <f>K871/L871</f>
        <v>0.019168026101141922</v>
      </c>
      <c r="N871" s="127">
        <v>216.8</v>
      </c>
      <c r="O871" s="127">
        <f>M871*N871</f>
        <v>4.155628058727569</v>
      </c>
      <c r="P871" s="137">
        <f>M871*60*1000</f>
        <v>1150.0815660685153</v>
      </c>
      <c r="Q871" s="155">
        <f>P871*N871/1000</f>
        <v>249.33768352365414</v>
      </c>
      <c r="S871" s="80"/>
      <c r="T871" s="80"/>
    </row>
    <row r="872" spans="1:20" ht="12.75">
      <c r="A872" s="926"/>
      <c r="B872" s="35">
        <v>5</v>
      </c>
      <c r="C872" s="34" t="s">
        <v>715</v>
      </c>
      <c r="D872" s="35">
        <v>51</v>
      </c>
      <c r="E872" s="35"/>
      <c r="F872" s="248">
        <v>60.5</v>
      </c>
      <c r="G872" s="248">
        <v>3.591</v>
      </c>
      <c r="H872" s="248">
        <v>8</v>
      </c>
      <c r="I872" s="248">
        <v>48.919</v>
      </c>
      <c r="J872" s="110">
        <v>2459.61</v>
      </c>
      <c r="K872" s="128">
        <v>48.9</v>
      </c>
      <c r="L872" s="110">
        <v>2459.6</v>
      </c>
      <c r="M872" s="128">
        <f>K872/L872</f>
        <v>0.019881281509188487</v>
      </c>
      <c r="N872" s="127">
        <v>216.8</v>
      </c>
      <c r="O872" s="127">
        <f>M872*N872</f>
        <v>4.310261831192064</v>
      </c>
      <c r="P872" s="137">
        <f>M872*60*1000</f>
        <v>1192.876890551309</v>
      </c>
      <c r="Q872" s="155">
        <f>P872*N872/1000</f>
        <v>258.6157098715238</v>
      </c>
      <c r="S872" s="80"/>
      <c r="T872" s="80"/>
    </row>
    <row r="873" spans="1:20" ht="12.75">
      <c r="A873" s="926"/>
      <c r="B873" s="35">
        <v>6</v>
      </c>
      <c r="C873" s="34"/>
      <c r="D873" s="35"/>
      <c r="E873" s="35"/>
      <c r="F873" s="248"/>
      <c r="G873" s="248"/>
      <c r="H873" s="248"/>
      <c r="I873" s="248"/>
      <c r="J873" s="110"/>
      <c r="K873" s="128"/>
      <c r="L873" s="110"/>
      <c r="M873" s="128"/>
      <c r="N873" s="137"/>
      <c r="O873" s="127"/>
      <c r="P873" s="137"/>
      <c r="Q873" s="155"/>
      <c r="S873" s="80"/>
      <c r="T873" s="80"/>
    </row>
    <row r="874" spans="1:20" ht="12.75">
      <c r="A874" s="926"/>
      <c r="B874" s="35">
        <v>7</v>
      </c>
      <c r="C874" s="34"/>
      <c r="D874" s="35"/>
      <c r="E874" s="35"/>
      <c r="F874" s="248"/>
      <c r="G874" s="248"/>
      <c r="H874" s="248"/>
      <c r="I874" s="248"/>
      <c r="J874" s="110"/>
      <c r="K874" s="128"/>
      <c r="L874" s="110"/>
      <c r="M874" s="128"/>
      <c r="N874" s="127"/>
      <c r="O874" s="127"/>
      <c r="P874" s="137"/>
      <c r="Q874" s="155"/>
      <c r="S874" s="80"/>
      <c r="T874" s="80"/>
    </row>
    <row r="875" spans="1:20" ht="12.75">
      <c r="A875" s="926"/>
      <c r="B875" s="35">
        <v>8</v>
      </c>
      <c r="C875" s="34"/>
      <c r="D875" s="35"/>
      <c r="E875" s="35"/>
      <c r="F875" s="248"/>
      <c r="G875" s="248"/>
      <c r="H875" s="248"/>
      <c r="I875" s="248"/>
      <c r="J875" s="110"/>
      <c r="K875" s="128"/>
      <c r="L875" s="110"/>
      <c r="M875" s="128"/>
      <c r="N875" s="127"/>
      <c r="O875" s="127"/>
      <c r="P875" s="137"/>
      <c r="Q875" s="155"/>
      <c r="S875" s="80"/>
      <c r="T875" s="80"/>
    </row>
    <row r="876" spans="1:20" ht="12.75">
      <c r="A876" s="937"/>
      <c r="B876" s="61">
        <v>9</v>
      </c>
      <c r="C876" s="34"/>
      <c r="D876" s="35"/>
      <c r="E876" s="35"/>
      <c r="F876" s="248"/>
      <c r="G876" s="248"/>
      <c r="H876" s="248"/>
      <c r="I876" s="248"/>
      <c r="J876" s="110"/>
      <c r="K876" s="128"/>
      <c r="L876" s="110"/>
      <c r="M876" s="128"/>
      <c r="N876" s="127"/>
      <c r="O876" s="127"/>
      <c r="P876" s="137"/>
      <c r="Q876" s="155"/>
      <c r="S876" s="80"/>
      <c r="T876" s="80"/>
    </row>
    <row r="877" spans="1:20" ht="13.5" customHeight="1" thickBot="1">
      <c r="A877" s="927"/>
      <c r="B877" s="37">
        <v>10</v>
      </c>
      <c r="C877" s="76"/>
      <c r="D877" s="37"/>
      <c r="E877" s="37"/>
      <c r="F877" s="250"/>
      <c r="G877" s="250"/>
      <c r="H877" s="250"/>
      <c r="I877" s="250"/>
      <c r="J877" s="171"/>
      <c r="K877" s="205"/>
      <c r="L877" s="171"/>
      <c r="M877" s="205"/>
      <c r="N877" s="158"/>
      <c r="O877" s="158"/>
      <c r="P877" s="158"/>
      <c r="Q877" s="159"/>
      <c r="S877" s="80"/>
      <c r="T877" s="80"/>
    </row>
    <row r="878" spans="1:20" ht="12.75">
      <c r="A878" s="917" t="s">
        <v>30</v>
      </c>
      <c r="B878" s="218">
        <v>1</v>
      </c>
      <c r="C878" s="254" t="s">
        <v>716</v>
      </c>
      <c r="D878" s="218">
        <v>20</v>
      </c>
      <c r="E878" s="218">
        <v>1991</v>
      </c>
      <c r="F878" s="389">
        <v>35.4</v>
      </c>
      <c r="G878" s="389">
        <v>2.954</v>
      </c>
      <c r="H878" s="389">
        <v>3.2</v>
      </c>
      <c r="I878" s="389">
        <v>29.246</v>
      </c>
      <c r="J878" s="399">
        <v>1165.09</v>
      </c>
      <c r="K878" s="409">
        <v>29.2</v>
      </c>
      <c r="L878" s="331">
        <v>1165.1</v>
      </c>
      <c r="M878" s="268">
        <f aca="true" t="shared" si="122" ref="M878:M894">K878/L878</f>
        <v>0.02506222641833319</v>
      </c>
      <c r="N878" s="267">
        <v>216.8</v>
      </c>
      <c r="O878" s="267">
        <f aca="true" t="shared" si="123" ref="O878:O894">M878*N878</f>
        <v>5.433490687494636</v>
      </c>
      <c r="P878" s="267">
        <f aca="true" t="shared" si="124" ref="P878:P894">M878*60*1000</f>
        <v>1503.7335850999916</v>
      </c>
      <c r="Q878" s="269">
        <f aca="true" t="shared" si="125" ref="Q878:Q894">P878*N878/1000</f>
        <v>326.0094412496782</v>
      </c>
      <c r="S878" s="80"/>
      <c r="T878" s="80"/>
    </row>
    <row r="879" spans="1:20" ht="12.75">
      <c r="A879" s="918"/>
      <c r="B879" s="219">
        <v>2</v>
      </c>
      <c r="C879" s="256" t="s">
        <v>717</v>
      </c>
      <c r="D879" s="219">
        <v>45</v>
      </c>
      <c r="E879" s="219"/>
      <c r="F879" s="270">
        <v>86</v>
      </c>
      <c r="G879" s="270">
        <v>5.654</v>
      </c>
      <c r="H879" s="270">
        <v>7.2</v>
      </c>
      <c r="I879" s="270">
        <v>73.09</v>
      </c>
      <c r="J879" s="261">
        <v>2911.41</v>
      </c>
      <c r="K879" s="272">
        <v>73.1</v>
      </c>
      <c r="L879" s="261">
        <v>2911.4</v>
      </c>
      <c r="M879" s="272">
        <f t="shared" si="122"/>
        <v>0.025108195369925118</v>
      </c>
      <c r="N879" s="271">
        <v>216.8</v>
      </c>
      <c r="O879" s="271">
        <f t="shared" si="123"/>
        <v>5.443456756199766</v>
      </c>
      <c r="P879" s="267">
        <f t="shared" si="124"/>
        <v>1506.491722195507</v>
      </c>
      <c r="Q879" s="273">
        <f t="shared" si="125"/>
        <v>326.6074053719859</v>
      </c>
      <c r="S879" s="80"/>
      <c r="T879" s="80"/>
    </row>
    <row r="880" spans="1:20" ht="12.75">
      <c r="A880" s="918"/>
      <c r="B880" s="219">
        <v>3</v>
      </c>
      <c r="C880" s="256" t="s">
        <v>718</v>
      </c>
      <c r="D880" s="219">
        <v>9</v>
      </c>
      <c r="E880" s="219"/>
      <c r="F880" s="270">
        <v>17.3</v>
      </c>
      <c r="G880" s="270">
        <v>1.477</v>
      </c>
      <c r="H880" s="270">
        <v>1.44</v>
      </c>
      <c r="I880" s="270">
        <v>14.383</v>
      </c>
      <c r="J880" s="261">
        <v>570.26</v>
      </c>
      <c r="K880" s="272">
        <v>14.4</v>
      </c>
      <c r="L880" s="261">
        <v>570.3</v>
      </c>
      <c r="M880" s="272">
        <f t="shared" si="122"/>
        <v>0.025249868490268283</v>
      </c>
      <c r="N880" s="271">
        <v>216.8</v>
      </c>
      <c r="O880" s="271">
        <f t="shared" si="123"/>
        <v>5.474171488690164</v>
      </c>
      <c r="P880" s="267">
        <f t="shared" si="124"/>
        <v>1514.992109416097</v>
      </c>
      <c r="Q880" s="273">
        <f t="shared" si="125"/>
        <v>328.45028932140985</v>
      </c>
      <c r="S880" s="80"/>
      <c r="T880" s="80"/>
    </row>
    <row r="881" spans="1:20" ht="12.75">
      <c r="A881" s="918"/>
      <c r="B881" s="219">
        <v>4</v>
      </c>
      <c r="C881" s="256" t="s">
        <v>719</v>
      </c>
      <c r="D881" s="219">
        <v>10</v>
      </c>
      <c r="E881" s="219">
        <v>1974</v>
      </c>
      <c r="F881" s="270">
        <v>20.8</v>
      </c>
      <c r="G881" s="270">
        <v>1.732</v>
      </c>
      <c r="H881" s="270">
        <v>1.6</v>
      </c>
      <c r="I881" s="270">
        <v>17.45</v>
      </c>
      <c r="J881" s="261">
        <v>684.27</v>
      </c>
      <c r="K881" s="272">
        <v>17.5</v>
      </c>
      <c r="L881" s="261">
        <v>684.3</v>
      </c>
      <c r="M881" s="272">
        <f t="shared" si="122"/>
        <v>0.025573578839690195</v>
      </c>
      <c r="N881" s="267">
        <v>216.8</v>
      </c>
      <c r="O881" s="271">
        <f t="shared" si="123"/>
        <v>5.544351892444834</v>
      </c>
      <c r="P881" s="267">
        <f t="shared" si="124"/>
        <v>1534.4147303814118</v>
      </c>
      <c r="Q881" s="273">
        <f t="shared" si="125"/>
        <v>332.6611135466901</v>
      </c>
      <c r="S881" s="80"/>
      <c r="T881" s="80"/>
    </row>
    <row r="882" spans="1:20" ht="12.75">
      <c r="A882" s="918"/>
      <c r="B882" s="219">
        <v>5</v>
      </c>
      <c r="C882" s="256" t="s">
        <v>720</v>
      </c>
      <c r="D882" s="219">
        <v>36</v>
      </c>
      <c r="E882" s="219"/>
      <c r="F882" s="270">
        <v>45.9</v>
      </c>
      <c r="G882" s="270">
        <v>2.649</v>
      </c>
      <c r="H882" s="270">
        <v>5.52</v>
      </c>
      <c r="I882" s="270">
        <v>37.831</v>
      </c>
      <c r="J882" s="261">
        <v>1476.38</v>
      </c>
      <c r="K882" s="272">
        <v>37.8</v>
      </c>
      <c r="L882" s="261">
        <v>1476.4</v>
      </c>
      <c r="M882" s="272">
        <f t="shared" si="122"/>
        <v>0.02560281766458954</v>
      </c>
      <c r="N882" s="271">
        <v>216.8</v>
      </c>
      <c r="O882" s="271">
        <f t="shared" si="123"/>
        <v>5.550690869683012</v>
      </c>
      <c r="P882" s="267">
        <f t="shared" si="124"/>
        <v>1536.1690598753723</v>
      </c>
      <c r="Q882" s="273">
        <f t="shared" si="125"/>
        <v>333.04145218098074</v>
      </c>
      <c r="S882" s="80"/>
      <c r="T882" s="80"/>
    </row>
    <row r="883" spans="1:20" ht="12.75">
      <c r="A883" s="918"/>
      <c r="B883" s="219">
        <v>6</v>
      </c>
      <c r="C883" s="256" t="s">
        <v>721</v>
      </c>
      <c r="D883" s="219">
        <v>18</v>
      </c>
      <c r="E883" s="219">
        <v>1988</v>
      </c>
      <c r="F883" s="270">
        <v>34.3</v>
      </c>
      <c r="G883" s="270">
        <v>2.037</v>
      </c>
      <c r="H883" s="270">
        <v>2.88</v>
      </c>
      <c r="I883" s="270">
        <v>29.367</v>
      </c>
      <c r="J883" s="261">
        <v>1144.2</v>
      </c>
      <c r="K883" s="272">
        <v>29.4</v>
      </c>
      <c r="L883" s="261">
        <v>1144.2</v>
      </c>
      <c r="M883" s="272">
        <f t="shared" si="122"/>
        <v>0.025694808599895123</v>
      </c>
      <c r="N883" s="271">
        <v>216.8</v>
      </c>
      <c r="O883" s="271">
        <f t="shared" si="123"/>
        <v>5.570634504457263</v>
      </c>
      <c r="P883" s="267">
        <f t="shared" si="124"/>
        <v>1541.6885159937074</v>
      </c>
      <c r="Q883" s="273">
        <f t="shared" si="125"/>
        <v>334.23807026743583</v>
      </c>
      <c r="S883" s="80"/>
      <c r="T883" s="80"/>
    </row>
    <row r="884" spans="1:20" ht="12.75">
      <c r="A884" s="918"/>
      <c r="B884" s="219">
        <v>7</v>
      </c>
      <c r="C884" s="256" t="s">
        <v>722</v>
      </c>
      <c r="D884" s="219">
        <v>20</v>
      </c>
      <c r="E884" s="219">
        <v>1982</v>
      </c>
      <c r="F884" s="270">
        <v>32.7</v>
      </c>
      <c r="G884" s="270">
        <v>2.587</v>
      </c>
      <c r="H884" s="270">
        <v>3.2</v>
      </c>
      <c r="I884" s="270">
        <v>26.913</v>
      </c>
      <c r="J884" s="261">
        <v>1044.23</v>
      </c>
      <c r="K884" s="272">
        <v>26.9</v>
      </c>
      <c r="L884" s="261">
        <v>1044.2</v>
      </c>
      <c r="M884" s="272">
        <f t="shared" si="122"/>
        <v>0.02576134840068952</v>
      </c>
      <c r="N884" s="267">
        <v>216.8</v>
      </c>
      <c r="O884" s="271">
        <f t="shared" si="123"/>
        <v>5.585060333269488</v>
      </c>
      <c r="P884" s="267">
        <f t="shared" si="124"/>
        <v>1545.6809040413712</v>
      </c>
      <c r="Q884" s="273">
        <f t="shared" si="125"/>
        <v>335.1036199961693</v>
      </c>
      <c r="S884" s="80"/>
      <c r="T884" s="80"/>
    </row>
    <row r="885" spans="1:20" ht="12.75">
      <c r="A885" s="918"/>
      <c r="B885" s="219">
        <v>8</v>
      </c>
      <c r="C885" s="256" t="s">
        <v>723</v>
      </c>
      <c r="D885" s="219">
        <v>26</v>
      </c>
      <c r="E885" s="219">
        <v>1988</v>
      </c>
      <c r="F885" s="270">
        <v>45.5</v>
      </c>
      <c r="G885" s="270">
        <v>2.7</v>
      </c>
      <c r="H885" s="270">
        <v>3.84</v>
      </c>
      <c r="I885" s="270">
        <v>39.005</v>
      </c>
      <c r="J885" s="261">
        <v>1505.51</v>
      </c>
      <c r="K885" s="272">
        <v>39</v>
      </c>
      <c r="L885" s="261">
        <v>1505.5</v>
      </c>
      <c r="M885" s="272">
        <f t="shared" si="122"/>
        <v>0.02590501494520093</v>
      </c>
      <c r="N885" s="271">
        <v>216.8</v>
      </c>
      <c r="O885" s="271">
        <f t="shared" si="123"/>
        <v>5.616207240119562</v>
      </c>
      <c r="P885" s="267">
        <f t="shared" si="124"/>
        <v>1554.3008967120556</v>
      </c>
      <c r="Q885" s="273">
        <f t="shared" si="125"/>
        <v>336.97243440717364</v>
      </c>
      <c r="S885" s="80"/>
      <c r="T885" s="80"/>
    </row>
    <row r="886" spans="1:20" ht="12.75">
      <c r="A886" s="935"/>
      <c r="B886" s="231">
        <v>9</v>
      </c>
      <c r="C886" s="256" t="s">
        <v>724</v>
      </c>
      <c r="D886" s="219">
        <v>7</v>
      </c>
      <c r="E886" s="219">
        <v>1940</v>
      </c>
      <c r="F886" s="270">
        <v>8.7</v>
      </c>
      <c r="G886" s="270">
        <v>0.153</v>
      </c>
      <c r="H886" s="270">
        <v>0</v>
      </c>
      <c r="I886" s="270">
        <v>8.549</v>
      </c>
      <c r="J886" s="261">
        <v>326.26</v>
      </c>
      <c r="K886" s="272">
        <v>8.5</v>
      </c>
      <c r="L886" s="261">
        <v>326.3</v>
      </c>
      <c r="M886" s="272">
        <f t="shared" si="122"/>
        <v>0.026049647563591787</v>
      </c>
      <c r="N886" s="271">
        <v>216.8</v>
      </c>
      <c r="O886" s="271">
        <f t="shared" si="123"/>
        <v>5.6475635917866995</v>
      </c>
      <c r="P886" s="267">
        <f t="shared" si="124"/>
        <v>1562.9788538155071</v>
      </c>
      <c r="Q886" s="273">
        <f t="shared" si="125"/>
        <v>338.85381550720194</v>
      </c>
      <c r="S886" s="80"/>
      <c r="T886" s="80"/>
    </row>
    <row r="887" spans="1:20" ht="13.5" thickBot="1">
      <c r="A887" s="919"/>
      <c r="B887" s="232">
        <v>10</v>
      </c>
      <c r="C887" s="258" t="s">
        <v>725</v>
      </c>
      <c r="D887" s="232">
        <v>36</v>
      </c>
      <c r="E887" s="232">
        <v>1967</v>
      </c>
      <c r="F887" s="274">
        <v>48.4</v>
      </c>
      <c r="G887" s="274">
        <v>3.26</v>
      </c>
      <c r="H887" s="274">
        <v>5.76</v>
      </c>
      <c r="I887" s="274">
        <v>39.28</v>
      </c>
      <c r="J887" s="263">
        <v>1498.87</v>
      </c>
      <c r="K887" s="276">
        <v>39.3</v>
      </c>
      <c r="L887" s="263">
        <v>1498.9</v>
      </c>
      <c r="M887" s="276">
        <f t="shared" si="122"/>
        <v>0.026219227433451193</v>
      </c>
      <c r="N887" s="275">
        <v>216.8</v>
      </c>
      <c r="O887" s="275">
        <f t="shared" si="123"/>
        <v>5.684328507572219</v>
      </c>
      <c r="P887" s="275">
        <f t="shared" si="124"/>
        <v>1573.1536460070715</v>
      </c>
      <c r="Q887" s="277">
        <f t="shared" si="125"/>
        <v>341.0597104543331</v>
      </c>
      <c r="S887" s="80"/>
      <c r="T887" s="80"/>
    </row>
    <row r="888" spans="1:20" ht="12.75">
      <c r="A888" s="928" t="s">
        <v>12</v>
      </c>
      <c r="B888" s="38">
        <v>1</v>
      </c>
      <c r="C888" s="225" t="s">
        <v>726</v>
      </c>
      <c r="D888" s="38">
        <v>13</v>
      </c>
      <c r="E888" s="38">
        <v>1960</v>
      </c>
      <c r="F888" s="394">
        <v>12.8</v>
      </c>
      <c r="G888" s="394">
        <v>0</v>
      </c>
      <c r="H888" s="394">
        <v>0</v>
      </c>
      <c r="I888" s="394">
        <v>12.757</v>
      </c>
      <c r="J888" s="334">
        <v>371.4</v>
      </c>
      <c r="K888" s="414">
        <v>12.8</v>
      </c>
      <c r="L888" s="332">
        <v>371.4</v>
      </c>
      <c r="M888" s="213">
        <f t="shared" si="122"/>
        <v>0.03446418955304255</v>
      </c>
      <c r="N888" s="164">
        <v>216.8</v>
      </c>
      <c r="O888" s="164">
        <f t="shared" si="123"/>
        <v>7.471836295099625</v>
      </c>
      <c r="P888" s="164">
        <f t="shared" si="124"/>
        <v>2067.851373182553</v>
      </c>
      <c r="Q888" s="285">
        <f t="shared" si="125"/>
        <v>448.3101777059775</v>
      </c>
      <c r="S888" s="80"/>
      <c r="T888" s="80"/>
    </row>
    <row r="889" spans="1:20" ht="12.75">
      <c r="A889" s="929"/>
      <c r="B889" s="73">
        <v>2</v>
      </c>
      <c r="C889" s="45" t="s">
        <v>727</v>
      </c>
      <c r="D889" s="40">
        <v>6</v>
      </c>
      <c r="E889" s="40">
        <v>1956</v>
      </c>
      <c r="F889" s="172">
        <v>10.7</v>
      </c>
      <c r="G889" s="172">
        <v>0.407</v>
      </c>
      <c r="H889" s="172">
        <v>0.96</v>
      </c>
      <c r="I889" s="172">
        <v>9.281</v>
      </c>
      <c r="J889" s="297">
        <v>264.64</v>
      </c>
      <c r="K889" s="214">
        <v>9.3</v>
      </c>
      <c r="L889" s="297">
        <v>264.64</v>
      </c>
      <c r="M889" s="214">
        <f t="shared" si="122"/>
        <v>0.03514207980652963</v>
      </c>
      <c r="N889" s="290">
        <v>216.8</v>
      </c>
      <c r="O889" s="290">
        <f t="shared" si="123"/>
        <v>7.618802902055624</v>
      </c>
      <c r="P889" s="164">
        <f t="shared" si="124"/>
        <v>2108.5247883917777</v>
      </c>
      <c r="Q889" s="291">
        <f t="shared" si="125"/>
        <v>457.12817412333743</v>
      </c>
      <c r="S889" s="80"/>
      <c r="T889" s="80"/>
    </row>
    <row r="890" spans="1:20" ht="12.75">
      <c r="A890" s="929"/>
      <c r="B890" s="73">
        <v>3</v>
      </c>
      <c r="C890" s="45" t="s">
        <v>728</v>
      </c>
      <c r="D890" s="40">
        <v>14</v>
      </c>
      <c r="E890" s="40"/>
      <c r="F890" s="172">
        <v>21.3</v>
      </c>
      <c r="G890" s="172">
        <v>1.847</v>
      </c>
      <c r="H890" s="172">
        <v>0</v>
      </c>
      <c r="I890" s="172">
        <v>19.502</v>
      </c>
      <c r="J890" s="297">
        <v>551.79</v>
      </c>
      <c r="K890" s="214">
        <v>19.5</v>
      </c>
      <c r="L890" s="297">
        <v>551.79</v>
      </c>
      <c r="M890" s="214">
        <f t="shared" si="122"/>
        <v>0.035339531343445876</v>
      </c>
      <c r="N890" s="290">
        <v>216.8</v>
      </c>
      <c r="O890" s="290">
        <f t="shared" si="123"/>
        <v>7.661610395259066</v>
      </c>
      <c r="P890" s="164">
        <f t="shared" si="124"/>
        <v>2120.3718806067523</v>
      </c>
      <c r="Q890" s="291">
        <f t="shared" si="125"/>
        <v>459.69662371554386</v>
      </c>
      <c r="S890" s="80"/>
      <c r="T890" s="80"/>
    </row>
    <row r="891" spans="1:20" ht="12.75">
      <c r="A891" s="930"/>
      <c r="B891" s="40">
        <v>4</v>
      </c>
      <c r="C891" s="45" t="s">
        <v>729</v>
      </c>
      <c r="D891" s="40">
        <v>3</v>
      </c>
      <c r="E891" s="40">
        <v>1951</v>
      </c>
      <c r="F891" s="172">
        <v>4.9</v>
      </c>
      <c r="G891" s="172">
        <v>0</v>
      </c>
      <c r="H891" s="172">
        <v>0</v>
      </c>
      <c r="I891" s="172">
        <v>4.851</v>
      </c>
      <c r="J891" s="297">
        <v>138.77</v>
      </c>
      <c r="K891" s="214">
        <v>4.9</v>
      </c>
      <c r="L891" s="297">
        <v>138.17</v>
      </c>
      <c r="M891" s="214">
        <f t="shared" si="122"/>
        <v>0.03546355938336832</v>
      </c>
      <c r="N891" s="164">
        <v>216.8</v>
      </c>
      <c r="O891" s="290">
        <f t="shared" si="123"/>
        <v>7.688499674314253</v>
      </c>
      <c r="P891" s="164">
        <f t="shared" si="124"/>
        <v>2127.8135630020993</v>
      </c>
      <c r="Q891" s="291">
        <f t="shared" si="125"/>
        <v>461.30998045885514</v>
      </c>
      <c r="S891" s="80"/>
      <c r="T891" s="80"/>
    </row>
    <row r="892" spans="1:20" ht="12.75">
      <c r="A892" s="930"/>
      <c r="B892" s="40">
        <v>5</v>
      </c>
      <c r="C892" s="45" t="s">
        <v>730</v>
      </c>
      <c r="D892" s="40">
        <v>12</v>
      </c>
      <c r="E892" s="40">
        <v>1960</v>
      </c>
      <c r="F892" s="172">
        <v>14.3</v>
      </c>
      <c r="G892" s="172">
        <v>0</v>
      </c>
      <c r="H892" s="172">
        <v>0</v>
      </c>
      <c r="I892" s="172">
        <v>14.333</v>
      </c>
      <c r="J892" s="297">
        <v>393.99</v>
      </c>
      <c r="K892" s="214">
        <v>14.3</v>
      </c>
      <c r="L892" s="297">
        <v>393.99</v>
      </c>
      <c r="M892" s="214">
        <f t="shared" si="122"/>
        <v>0.03629533744511282</v>
      </c>
      <c r="N892" s="290">
        <v>216.8</v>
      </c>
      <c r="O892" s="290">
        <f t="shared" si="123"/>
        <v>7.86882915810046</v>
      </c>
      <c r="P892" s="164">
        <f t="shared" si="124"/>
        <v>2177.720246706769</v>
      </c>
      <c r="Q892" s="291">
        <f t="shared" si="125"/>
        <v>472.12974948602755</v>
      </c>
      <c r="S892" s="80"/>
      <c r="T892" s="80"/>
    </row>
    <row r="893" spans="1:20" ht="12.75">
      <c r="A893" s="930"/>
      <c r="B893" s="40">
        <v>6</v>
      </c>
      <c r="C893" s="45" t="s">
        <v>731</v>
      </c>
      <c r="D893" s="40">
        <v>8</v>
      </c>
      <c r="E893" s="40">
        <v>1960</v>
      </c>
      <c r="F893" s="172">
        <v>15.2</v>
      </c>
      <c r="G893" s="172">
        <v>0.807</v>
      </c>
      <c r="H893" s="172">
        <v>1.28</v>
      </c>
      <c r="I893" s="172">
        <v>13.113</v>
      </c>
      <c r="J893" s="297">
        <v>358.27</v>
      </c>
      <c r="K893" s="214">
        <v>13.1</v>
      </c>
      <c r="L893" s="297">
        <v>358.27</v>
      </c>
      <c r="M893" s="214">
        <f t="shared" si="122"/>
        <v>0.03656460211572278</v>
      </c>
      <c r="N893" s="290">
        <v>216.8</v>
      </c>
      <c r="O893" s="290">
        <f t="shared" si="123"/>
        <v>7.927205738688699</v>
      </c>
      <c r="P893" s="164">
        <f t="shared" si="124"/>
        <v>2193.8761269433667</v>
      </c>
      <c r="Q893" s="291">
        <f t="shared" si="125"/>
        <v>475.6323443213219</v>
      </c>
      <c r="S893" s="80"/>
      <c r="T893" s="80"/>
    </row>
    <row r="894" spans="1:20" ht="12.75">
      <c r="A894" s="930"/>
      <c r="B894" s="40">
        <v>7</v>
      </c>
      <c r="C894" s="45" t="s">
        <v>732</v>
      </c>
      <c r="D894" s="40">
        <v>3</v>
      </c>
      <c r="E894" s="40">
        <v>1940</v>
      </c>
      <c r="F894" s="172">
        <v>4.6</v>
      </c>
      <c r="G894" s="172">
        <v>0</v>
      </c>
      <c r="H894" s="172">
        <v>0</v>
      </c>
      <c r="I894" s="172">
        <v>4.574</v>
      </c>
      <c r="J894" s="297">
        <v>125.4</v>
      </c>
      <c r="K894" s="214">
        <v>4.8</v>
      </c>
      <c r="L894" s="297">
        <v>125.4</v>
      </c>
      <c r="M894" s="214">
        <f t="shared" si="122"/>
        <v>0.03827751196172249</v>
      </c>
      <c r="N894" s="290">
        <v>216.8</v>
      </c>
      <c r="O894" s="290">
        <f t="shared" si="123"/>
        <v>8.298564593301435</v>
      </c>
      <c r="P894" s="164">
        <f t="shared" si="124"/>
        <v>2296.650717703349</v>
      </c>
      <c r="Q894" s="291">
        <f t="shared" si="125"/>
        <v>497.9138755980861</v>
      </c>
      <c r="S894" s="80"/>
      <c r="T894" s="80"/>
    </row>
    <row r="895" spans="1:20" ht="12.75">
      <c r="A895" s="930"/>
      <c r="B895" s="40">
        <v>8</v>
      </c>
      <c r="C895" s="45"/>
      <c r="D895" s="40"/>
      <c r="E895" s="40"/>
      <c r="F895" s="295"/>
      <c r="G895" s="295"/>
      <c r="H895" s="295"/>
      <c r="I895" s="295"/>
      <c r="J895" s="297"/>
      <c r="K895" s="295"/>
      <c r="L895" s="297"/>
      <c r="M895" s="289"/>
      <c r="N895" s="290"/>
      <c r="O895" s="290"/>
      <c r="P895" s="284"/>
      <c r="Q895" s="291"/>
      <c r="S895" s="80"/>
      <c r="T895" s="80"/>
    </row>
    <row r="896" spans="1:20" ht="12.75">
      <c r="A896" s="930"/>
      <c r="B896" s="40">
        <v>9</v>
      </c>
      <c r="C896" s="45"/>
      <c r="D896" s="40"/>
      <c r="E896" s="40"/>
      <c r="F896" s="295"/>
      <c r="G896" s="295"/>
      <c r="H896" s="295"/>
      <c r="I896" s="295"/>
      <c r="J896" s="297"/>
      <c r="K896" s="295"/>
      <c r="L896" s="297"/>
      <c r="M896" s="289"/>
      <c r="N896" s="290"/>
      <c r="O896" s="290"/>
      <c r="P896" s="284"/>
      <c r="Q896" s="291"/>
      <c r="S896" s="80"/>
      <c r="T896" s="80"/>
    </row>
    <row r="897" spans="1:20" ht="13.5" thickBot="1">
      <c r="A897" s="931"/>
      <c r="B897" s="42">
        <v>10</v>
      </c>
      <c r="C897" s="72"/>
      <c r="D897" s="42"/>
      <c r="E897" s="42"/>
      <c r="F897" s="296"/>
      <c r="G897" s="296"/>
      <c r="H897" s="296"/>
      <c r="I897" s="296"/>
      <c r="J897" s="333"/>
      <c r="K897" s="296"/>
      <c r="L897" s="333"/>
      <c r="M897" s="286"/>
      <c r="N897" s="42"/>
      <c r="O897" s="287"/>
      <c r="P897" s="287"/>
      <c r="Q897" s="288"/>
      <c r="S897" s="80"/>
      <c r="T897" s="80"/>
    </row>
    <row r="898" spans="19:20" ht="12.75">
      <c r="S898" s="80"/>
      <c r="T898" s="80"/>
    </row>
    <row r="899" spans="19:20" ht="12.75">
      <c r="S899" s="80"/>
      <c r="T899" s="80"/>
    </row>
    <row r="900" spans="19:20" ht="12.75">
      <c r="S900" s="80"/>
      <c r="T900" s="80"/>
    </row>
    <row r="901" spans="1:20" ht="15">
      <c r="A901" s="907" t="s">
        <v>48</v>
      </c>
      <c r="B901" s="907"/>
      <c r="C901" s="907"/>
      <c r="D901" s="907"/>
      <c r="E901" s="907"/>
      <c r="F901" s="907"/>
      <c r="G901" s="907"/>
      <c r="H901" s="907"/>
      <c r="I901" s="907"/>
      <c r="J901" s="907"/>
      <c r="K901" s="907"/>
      <c r="L901" s="907"/>
      <c r="M901" s="907"/>
      <c r="N901" s="907"/>
      <c r="O901" s="907"/>
      <c r="P901" s="907"/>
      <c r="Q901" s="907"/>
      <c r="S901" s="80"/>
      <c r="T901" s="80"/>
    </row>
    <row r="902" spans="1:20" ht="13.5" thickBot="1">
      <c r="A902" s="894" t="s">
        <v>733</v>
      </c>
      <c r="B902" s="894"/>
      <c r="C902" s="894"/>
      <c r="D902" s="894"/>
      <c r="E902" s="894"/>
      <c r="F902" s="894"/>
      <c r="G902" s="894"/>
      <c r="H902" s="894"/>
      <c r="I902" s="894"/>
      <c r="J902" s="894"/>
      <c r="K902" s="894"/>
      <c r="L902" s="894"/>
      <c r="M902" s="894"/>
      <c r="N902" s="894"/>
      <c r="O902" s="894"/>
      <c r="P902" s="894"/>
      <c r="Q902" s="894"/>
      <c r="S902" s="80"/>
      <c r="T902" s="80"/>
    </row>
    <row r="903" spans="1:20" ht="12.75" customHeight="1">
      <c r="A903" s="885" t="s">
        <v>1</v>
      </c>
      <c r="B903" s="908" t="s">
        <v>0</v>
      </c>
      <c r="C903" s="880" t="s">
        <v>2</v>
      </c>
      <c r="D903" s="880" t="s">
        <v>3</v>
      </c>
      <c r="E903" s="880" t="s">
        <v>13</v>
      </c>
      <c r="F903" s="911" t="s">
        <v>14</v>
      </c>
      <c r="G903" s="912"/>
      <c r="H903" s="912"/>
      <c r="I903" s="913"/>
      <c r="J903" s="880" t="s">
        <v>4</v>
      </c>
      <c r="K903" s="880" t="s">
        <v>15</v>
      </c>
      <c r="L903" s="880" t="s">
        <v>5</v>
      </c>
      <c r="M903" s="880" t="s">
        <v>6</v>
      </c>
      <c r="N903" s="880" t="s">
        <v>16</v>
      </c>
      <c r="O903" s="892" t="s">
        <v>17</v>
      </c>
      <c r="P903" s="880" t="s">
        <v>25</v>
      </c>
      <c r="Q903" s="890" t="s">
        <v>26</v>
      </c>
      <c r="S903" s="80"/>
      <c r="T903" s="80"/>
    </row>
    <row r="904" spans="1:20" s="2" customFormat="1" ht="33.75">
      <c r="A904" s="886"/>
      <c r="B904" s="909"/>
      <c r="C904" s="888"/>
      <c r="D904" s="881"/>
      <c r="E904" s="881"/>
      <c r="F904" s="36" t="s">
        <v>18</v>
      </c>
      <c r="G904" s="36" t="s">
        <v>19</v>
      </c>
      <c r="H904" s="36" t="s">
        <v>20</v>
      </c>
      <c r="I904" s="36" t="s">
        <v>21</v>
      </c>
      <c r="J904" s="881"/>
      <c r="K904" s="881"/>
      <c r="L904" s="881"/>
      <c r="M904" s="881"/>
      <c r="N904" s="881"/>
      <c r="O904" s="893"/>
      <c r="P904" s="881"/>
      <c r="Q904" s="891"/>
      <c r="S904" s="80"/>
      <c r="T904" s="80"/>
    </row>
    <row r="905" spans="1:20" s="3" customFormat="1" ht="13.5" customHeight="1" thickBot="1">
      <c r="A905" s="887"/>
      <c r="B905" s="910"/>
      <c r="C905" s="889"/>
      <c r="D905" s="52" t="s">
        <v>7</v>
      </c>
      <c r="E905" s="52" t="s">
        <v>8</v>
      </c>
      <c r="F905" s="52" t="s">
        <v>9</v>
      </c>
      <c r="G905" s="52" t="s">
        <v>9</v>
      </c>
      <c r="H905" s="52" t="s">
        <v>9</v>
      </c>
      <c r="I905" s="52" t="s">
        <v>9</v>
      </c>
      <c r="J905" s="52" t="s">
        <v>22</v>
      </c>
      <c r="K905" s="52" t="s">
        <v>9</v>
      </c>
      <c r="L905" s="52" t="s">
        <v>22</v>
      </c>
      <c r="M905" s="52" t="s">
        <v>23</v>
      </c>
      <c r="N905" s="52" t="s">
        <v>10</v>
      </c>
      <c r="O905" s="52" t="s">
        <v>24</v>
      </c>
      <c r="P905" s="53" t="s">
        <v>27</v>
      </c>
      <c r="Q905" s="54" t="s">
        <v>28</v>
      </c>
      <c r="S905" s="80"/>
      <c r="T905" s="80"/>
    </row>
    <row r="906" spans="1:20" ht="12.75" customHeight="1">
      <c r="A906" s="882" t="s">
        <v>29</v>
      </c>
      <c r="B906" s="33">
        <v>1</v>
      </c>
      <c r="C906" s="34" t="s">
        <v>734</v>
      </c>
      <c r="D906" s="35">
        <v>60</v>
      </c>
      <c r="E906" s="35" t="s">
        <v>735</v>
      </c>
      <c r="F906" s="252">
        <f>G906+H906+I906</f>
        <v>54.452</v>
      </c>
      <c r="G906" s="247">
        <v>6.617</v>
      </c>
      <c r="H906" s="247">
        <v>9.6</v>
      </c>
      <c r="I906" s="248">
        <v>38.235</v>
      </c>
      <c r="J906" s="569"/>
      <c r="K906" s="247">
        <v>38.235</v>
      </c>
      <c r="L906" s="397">
        <v>3138.76</v>
      </c>
      <c r="M906" s="136">
        <f>K906/L906</f>
        <v>0.012181562145560666</v>
      </c>
      <c r="N906" s="137">
        <v>245.9</v>
      </c>
      <c r="O906" s="137">
        <f>M906*N906</f>
        <v>2.995446131593368</v>
      </c>
      <c r="P906" s="137">
        <f>M906*60*1000</f>
        <v>730.89372873364</v>
      </c>
      <c r="Q906" s="157">
        <f>P906*N906/1000</f>
        <v>179.7267678956021</v>
      </c>
      <c r="R906" s="6"/>
      <c r="S906" s="80"/>
      <c r="T906" s="80"/>
    </row>
    <row r="907" spans="1:20" ht="12.75">
      <c r="A907" s="883"/>
      <c r="B907" s="35">
        <v>2</v>
      </c>
      <c r="C907" s="34" t="s">
        <v>736</v>
      </c>
      <c r="D907" s="35">
        <v>60</v>
      </c>
      <c r="E907" s="35" t="s">
        <v>735</v>
      </c>
      <c r="F907" s="252">
        <f>G907+H907+I907</f>
        <v>70.491</v>
      </c>
      <c r="G907" s="248">
        <v>9.092</v>
      </c>
      <c r="H907" s="248">
        <v>9.6</v>
      </c>
      <c r="I907" s="248">
        <v>51.799</v>
      </c>
      <c r="J907" s="251"/>
      <c r="K907" s="252">
        <v>51.799</v>
      </c>
      <c r="L907" s="110">
        <v>3509.79</v>
      </c>
      <c r="M907" s="136">
        <f>K907/L907</f>
        <v>0.014758432840711268</v>
      </c>
      <c r="N907" s="137">
        <v>245.9</v>
      </c>
      <c r="O907" s="137">
        <f>M907*N907</f>
        <v>3.6290986355309007</v>
      </c>
      <c r="P907" s="137">
        <f>M907*60*1000</f>
        <v>885.5059704426761</v>
      </c>
      <c r="Q907" s="157">
        <f>P907*N907/1000</f>
        <v>217.74591813185407</v>
      </c>
      <c r="R907" s="6"/>
      <c r="S907" s="80"/>
      <c r="T907" s="80"/>
    </row>
    <row r="908" spans="1:20" ht="12.75">
      <c r="A908" s="883"/>
      <c r="B908" s="35">
        <v>3</v>
      </c>
      <c r="C908" s="34"/>
      <c r="D908" s="35"/>
      <c r="E908" s="35"/>
      <c r="F908" s="248"/>
      <c r="G908" s="248"/>
      <c r="H908" s="248"/>
      <c r="I908" s="248"/>
      <c r="J908" s="127"/>
      <c r="K908" s="248"/>
      <c r="L908" s="110"/>
      <c r="M908" s="128"/>
      <c r="N908" s="137"/>
      <c r="O908" s="137"/>
      <c r="P908" s="137"/>
      <c r="Q908" s="155"/>
      <c r="R908" s="6"/>
      <c r="S908" s="80"/>
      <c r="T908" s="80"/>
    </row>
    <row r="909" spans="1:20" ht="12.75">
      <c r="A909" s="883"/>
      <c r="B909" s="35">
        <v>4</v>
      </c>
      <c r="C909" s="34"/>
      <c r="D909" s="35"/>
      <c r="E909" s="35"/>
      <c r="F909" s="248"/>
      <c r="G909" s="248"/>
      <c r="H909" s="248"/>
      <c r="I909" s="248"/>
      <c r="J909" s="127"/>
      <c r="K909" s="248"/>
      <c r="L909" s="110"/>
      <c r="M909" s="128"/>
      <c r="N909" s="137"/>
      <c r="O909" s="127"/>
      <c r="P909" s="137"/>
      <c r="Q909" s="155"/>
      <c r="R909" s="6"/>
      <c r="S909" s="80"/>
      <c r="T909" s="80"/>
    </row>
    <row r="910" spans="1:20" ht="12.75">
      <c r="A910" s="883"/>
      <c r="B910" s="35">
        <v>5</v>
      </c>
      <c r="C910" s="34"/>
      <c r="D910" s="35"/>
      <c r="E910" s="35"/>
      <c r="F910" s="248"/>
      <c r="G910" s="248"/>
      <c r="H910" s="248"/>
      <c r="I910" s="248"/>
      <c r="J910" s="127"/>
      <c r="K910" s="248"/>
      <c r="L910" s="110"/>
      <c r="M910" s="128"/>
      <c r="N910" s="137"/>
      <c r="O910" s="127"/>
      <c r="P910" s="137"/>
      <c r="Q910" s="155"/>
      <c r="R910" s="6"/>
      <c r="S910" s="80"/>
      <c r="T910" s="80"/>
    </row>
    <row r="911" spans="1:20" ht="12.75">
      <c r="A911" s="883"/>
      <c r="B911" s="35">
        <v>6</v>
      </c>
      <c r="C911" s="34"/>
      <c r="D911" s="35"/>
      <c r="E911" s="35"/>
      <c r="F911" s="248"/>
      <c r="G911" s="248"/>
      <c r="H911" s="248"/>
      <c r="I911" s="248"/>
      <c r="J911" s="248"/>
      <c r="K911" s="248"/>
      <c r="L911" s="110"/>
      <c r="M911" s="128"/>
      <c r="N911" s="137"/>
      <c r="O911" s="127"/>
      <c r="P911" s="137"/>
      <c r="Q911" s="155"/>
      <c r="R911" s="6"/>
      <c r="S911" s="80"/>
      <c r="T911" s="80"/>
    </row>
    <row r="912" spans="1:20" ht="12.75">
      <c r="A912" s="883"/>
      <c r="B912" s="35">
        <v>7</v>
      </c>
      <c r="C912" s="34"/>
      <c r="D912" s="35"/>
      <c r="E912" s="35"/>
      <c r="F912" s="248"/>
      <c r="G912" s="248"/>
      <c r="H912" s="248"/>
      <c r="I912" s="248"/>
      <c r="J912" s="248"/>
      <c r="K912" s="248"/>
      <c r="L912" s="110"/>
      <c r="M912" s="128"/>
      <c r="N912" s="137"/>
      <c r="O912" s="127"/>
      <c r="P912" s="137"/>
      <c r="Q912" s="155"/>
      <c r="R912" s="6"/>
      <c r="S912" s="80"/>
      <c r="T912" s="80"/>
    </row>
    <row r="913" spans="1:20" ht="12.75">
      <c r="A913" s="883"/>
      <c r="B913" s="35">
        <v>8</v>
      </c>
      <c r="C913" s="34"/>
      <c r="D913" s="35"/>
      <c r="E913" s="35"/>
      <c r="F913" s="248"/>
      <c r="G913" s="248"/>
      <c r="H913" s="248"/>
      <c r="I913" s="248"/>
      <c r="J913" s="248"/>
      <c r="K913" s="248"/>
      <c r="L913" s="110"/>
      <c r="M913" s="128"/>
      <c r="N913" s="137"/>
      <c r="O913" s="127"/>
      <c r="P913" s="137"/>
      <c r="Q913" s="155"/>
      <c r="R913" s="6"/>
      <c r="S913" s="80"/>
      <c r="T913" s="80"/>
    </row>
    <row r="914" spans="1:20" ht="13.5" customHeight="1">
      <c r="A914" s="883"/>
      <c r="B914" s="35">
        <v>9</v>
      </c>
      <c r="C914" s="34"/>
      <c r="D914" s="35"/>
      <c r="E914" s="35"/>
      <c r="F914" s="248"/>
      <c r="G914" s="248"/>
      <c r="H914" s="248"/>
      <c r="I914" s="248"/>
      <c r="J914" s="248"/>
      <c r="K914" s="248"/>
      <c r="L914" s="110"/>
      <c r="M914" s="128"/>
      <c r="N914" s="137"/>
      <c r="O914" s="127"/>
      <c r="P914" s="137"/>
      <c r="Q914" s="155"/>
      <c r="R914" s="6"/>
      <c r="S914" s="80"/>
      <c r="T914" s="80"/>
    </row>
    <row r="915" spans="1:20" ht="13.5" customHeight="1" thickBot="1">
      <c r="A915" s="884"/>
      <c r="B915" s="83">
        <v>10</v>
      </c>
      <c r="C915" s="76"/>
      <c r="D915" s="37"/>
      <c r="E915" s="37"/>
      <c r="F915" s="250"/>
      <c r="G915" s="250"/>
      <c r="H915" s="250"/>
      <c r="I915" s="250"/>
      <c r="J915" s="383"/>
      <c r="K915" s="250"/>
      <c r="L915" s="171"/>
      <c r="M915" s="205"/>
      <c r="N915" s="158"/>
      <c r="O915" s="158"/>
      <c r="P915" s="158"/>
      <c r="Q915" s="159"/>
      <c r="R915" s="6"/>
      <c r="S915" s="80"/>
      <c r="T915" s="80"/>
    </row>
    <row r="916" spans="1:20" ht="12.75">
      <c r="A916" s="1003" t="s">
        <v>30</v>
      </c>
      <c r="B916" s="218">
        <v>1</v>
      </c>
      <c r="C916" s="254" t="s">
        <v>737</v>
      </c>
      <c r="D916" s="218">
        <v>60</v>
      </c>
      <c r="E916" s="218" t="s">
        <v>738</v>
      </c>
      <c r="F916" s="325">
        <f aca="true" t="shared" si="126" ref="F916:F935">G916+H916+I916</f>
        <v>68.963</v>
      </c>
      <c r="G916" s="389">
        <v>10.739</v>
      </c>
      <c r="H916" s="389">
        <v>9.6</v>
      </c>
      <c r="I916" s="389">
        <v>48.624</v>
      </c>
      <c r="J916" s="566"/>
      <c r="K916" s="325">
        <f aca="true" t="shared" si="127" ref="K916:K935">I916</f>
        <v>48.624</v>
      </c>
      <c r="L916" s="331">
        <v>3137.85</v>
      </c>
      <c r="M916" s="268">
        <f aca="true" t="shared" si="128" ref="M916:M935">K916/L916</f>
        <v>0.015495960609971797</v>
      </c>
      <c r="N916" s="267">
        <v>245.9</v>
      </c>
      <c r="O916" s="267">
        <f aca="true" t="shared" si="129" ref="O916:O935">M916*N916</f>
        <v>3.810456713992065</v>
      </c>
      <c r="P916" s="267">
        <f aca="true" t="shared" si="130" ref="P916:P935">M916*60*1000</f>
        <v>929.7576365983078</v>
      </c>
      <c r="Q916" s="269">
        <f aca="true" t="shared" si="131" ref="Q916:Q935">P916*N916/1000</f>
        <v>228.6274028395239</v>
      </c>
      <c r="S916" s="80"/>
      <c r="T916" s="80"/>
    </row>
    <row r="917" spans="1:20" ht="12.75">
      <c r="A917" s="939"/>
      <c r="B917" s="219">
        <v>2</v>
      </c>
      <c r="C917" s="280" t="s">
        <v>739</v>
      </c>
      <c r="D917" s="219">
        <v>60</v>
      </c>
      <c r="E917" s="219" t="s">
        <v>738</v>
      </c>
      <c r="F917" s="270">
        <f t="shared" si="126"/>
        <v>63.837999999999994</v>
      </c>
      <c r="G917" s="270">
        <v>10.225</v>
      </c>
      <c r="H917" s="270">
        <v>9.6</v>
      </c>
      <c r="I917" s="270">
        <v>44.013</v>
      </c>
      <c r="J917" s="282"/>
      <c r="K917" s="270">
        <f t="shared" si="127"/>
        <v>44.013</v>
      </c>
      <c r="L917" s="261">
        <v>2690.2</v>
      </c>
      <c r="M917" s="272">
        <f t="shared" si="128"/>
        <v>0.01636049364359527</v>
      </c>
      <c r="N917" s="271">
        <v>245.9</v>
      </c>
      <c r="O917" s="271">
        <f t="shared" si="129"/>
        <v>4.023045386960077</v>
      </c>
      <c r="P917" s="267">
        <f t="shared" si="130"/>
        <v>981.6296186157163</v>
      </c>
      <c r="Q917" s="273">
        <f t="shared" si="131"/>
        <v>241.38272321760462</v>
      </c>
      <c r="S917" s="80"/>
      <c r="T917" s="80"/>
    </row>
    <row r="918" spans="1:20" ht="12.75">
      <c r="A918" s="939"/>
      <c r="B918" s="219">
        <v>3</v>
      </c>
      <c r="C918" s="256" t="s">
        <v>740</v>
      </c>
      <c r="D918" s="219">
        <v>30</v>
      </c>
      <c r="E918" s="219" t="s">
        <v>738</v>
      </c>
      <c r="F918" s="270">
        <f t="shared" si="126"/>
        <v>42.980000000000004</v>
      </c>
      <c r="G918" s="270">
        <v>2.979</v>
      </c>
      <c r="H918" s="270">
        <v>4.904</v>
      </c>
      <c r="I918" s="270">
        <v>35.097</v>
      </c>
      <c r="J918" s="282"/>
      <c r="K918" s="270">
        <f t="shared" si="127"/>
        <v>35.097</v>
      </c>
      <c r="L918" s="261">
        <v>1867.33</v>
      </c>
      <c r="M918" s="272">
        <f t="shared" si="128"/>
        <v>0.018795285246849782</v>
      </c>
      <c r="N918" s="271">
        <v>245.9</v>
      </c>
      <c r="O918" s="271">
        <f t="shared" si="129"/>
        <v>4.621760642200361</v>
      </c>
      <c r="P918" s="267">
        <f t="shared" si="130"/>
        <v>1127.717114810987</v>
      </c>
      <c r="Q918" s="273">
        <f t="shared" si="131"/>
        <v>277.30563853202165</v>
      </c>
      <c r="S918" s="80"/>
      <c r="T918" s="80"/>
    </row>
    <row r="919" spans="1:20" ht="12.75">
      <c r="A919" s="939"/>
      <c r="B919" s="219">
        <v>4</v>
      </c>
      <c r="C919" s="256" t="s">
        <v>741</v>
      </c>
      <c r="D919" s="219">
        <v>60</v>
      </c>
      <c r="E919" s="219" t="s">
        <v>738</v>
      </c>
      <c r="F919" s="270">
        <f t="shared" si="126"/>
        <v>76.324</v>
      </c>
      <c r="G919" s="270">
        <v>6.587</v>
      </c>
      <c r="H919" s="270">
        <v>9.6</v>
      </c>
      <c r="I919" s="270">
        <v>60.137</v>
      </c>
      <c r="J919" s="282"/>
      <c r="K919" s="270">
        <f t="shared" si="127"/>
        <v>60.137</v>
      </c>
      <c r="L919" s="261">
        <v>3132.08</v>
      </c>
      <c r="M919" s="272">
        <f t="shared" si="128"/>
        <v>0.019200339710352225</v>
      </c>
      <c r="N919" s="271">
        <v>245.9</v>
      </c>
      <c r="O919" s="271">
        <f t="shared" si="129"/>
        <v>4.721363534775612</v>
      </c>
      <c r="P919" s="267">
        <f t="shared" si="130"/>
        <v>1152.0203826211334</v>
      </c>
      <c r="Q919" s="273">
        <f t="shared" si="131"/>
        <v>283.2818120865367</v>
      </c>
      <c r="S919" s="80"/>
      <c r="T919" s="80"/>
    </row>
    <row r="920" spans="1:20" ht="12.75">
      <c r="A920" s="939"/>
      <c r="B920" s="219">
        <v>5</v>
      </c>
      <c r="C920" s="256" t="s">
        <v>742</v>
      </c>
      <c r="D920" s="219">
        <v>50</v>
      </c>
      <c r="E920" s="219" t="s">
        <v>738</v>
      </c>
      <c r="F920" s="270">
        <f t="shared" si="126"/>
        <v>52.3</v>
      </c>
      <c r="G920" s="270">
        <v>3.739</v>
      </c>
      <c r="H920" s="270">
        <v>7.84</v>
      </c>
      <c r="I920" s="270">
        <v>40.721</v>
      </c>
      <c r="J920" s="282"/>
      <c r="K920" s="270">
        <f t="shared" si="127"/>
        <v>40.721</v>
      </c>
      <c r="L920" s="261">
        <v>1860.33</v>
      </c>
      <c r="M920" s="272">
        <f t="shared" si="128"/>
        <v>0.021889127197862745</v>
      </c>
      <c r="N920" s="271">
        <v>245.9</v>
      </c>
      <c r="O920" s="271">
        <f t="shared" si="129"/>
        <v>5.382536377954449</v>
      </c>
      <c r="P920" s="267">
        <f t="shared" si="130"/>
        <v>1313.3476318717646</v>
      </c>
      <c r="Q920" s="273">
        <f t="shared" si="131"/>
        <v>322.95218267726693</v>
      </c>
      <c r="S920" s="80"/>
      <c r="T920" s="80"/>
    </row>
    <row r="921" spans="1:20" ht="12.75">
      <c r="A921" s="939"/>
      <c r="B921" s="219">
        <v>6</v>
      </c>
      <c r="C921" s="256" t="s">
        <v>743</v>
      </c>
      <c r="D921" s="219">
        <v>50</v>
      </c>
      <c r="E921" s="219" t="s">
        <v>738</v>
      </c>
      <c r="F921" s="270">
        <f t="shared" si="126"/>
        <v>71.572</v>
      </c>
      <c r="G921" s="270">
        <v>5.251</v>
      </c>
      <c r="H921" s="270">
        <v>8</v>
      </c>
      <c r="I921" s="270">
        <v>58.321</v>
      </c>
      <c r="J921" s="282"/>
      <c r="K921" s="270">
        <f t="shared" si="127"/>
        <v>58.321</v>
      </c>
      <c r="L921" s="261">
        <v>2659.12</v>
      </c>
      <c r="M921" s="272">
        <f t="shared" si="128"/>
        <v>0.021932443815999278</v>
      </c>
      <c r="N921" s="271">
        <v>245.9</v>
      </c>
      <c r="O921" s="271">
        <f t="shared" si="129"/>
        <v>5.393187934354223</v>
      </c>
      <c r="P921" s="267">
        <f t="shared" si="130"/>
        <v>1315.9466289599566</v>
      </c>
      <c r="Q921" s="273">
        <f t="shared" si="131"/>
        <v>323.5912760612533</v>
      </c>
      <c r="S921" s="80"/>
      <c r="T921" s="80"/>
    </row>
    <row r="922" spans="1:20" ht="12.75">
      <c r="A922" s="939"/>
      <c r="B922" s="219">
        <v>7</v>
      </c>
      <c r="C922" s="256" t="s">
        <v>744</v>
      </c>
      <c r="D922" s="219">
        <v>20</v>
      </c>
      <c r="E922" s="219" t="s">
        <v>738</v>
      </c>
      <c r="F922" s="270">
        <f t="shared" si="126"/>
        <v>34.64</v>
      </c>
      <c r="G922" s="270">
        <v>3.229</v>
      </c>
      <c r="H922" s="270">
        <v>3.2</v>
      </c>
      <c r="I922" s="270">
        <v>28.211</v>
      </c>
      <c r="J922" s="282"/>
      <c r="K922" s="270">
        <f t="shared" si="127"/>
        <v>28.211</v>
      </c>
      <c r="L922" s="261">
        <v>1275.88</v>
      </c>
      <c r="M922" s="272">
        <f t="shared" si="128"/>
        <v>0.022111013574944348</v>
      </c>
      <c r="N922" s="271">
        <v>245.9</v>
      </c>
      <c r="O922" s="271">
        <f t="shared" si="129"/>
        <v>5.437098238078815</v>
      </c>
      <c r="P922" s="267">
        <f t="shared" si="130"/>
        <v>1326.660814496661</v>
      </c>
      <c r="Q922" s="273">
        <f t="shared" si="131"/>
        <v>326.22589428472895</v>
      </c>
      <c r="S922" s="80"/>
      <c r="T922" s="80"/>
    </row>
    <row r="923" spans="1:20" ht="12.75">
      <c r="A923" s="939"/>
      <c r="B923" s="219">
        <v>8</v>
      </c>
      <c r="C923" s="256" t="s">
        <v>745</v>
      </c>
      <c r="D923" s="219">
        <v>26</v>
      </c>
      <c r="E923" s="219" t="s">
        <v>738</v>
      </c>
      <c r="F923" s="270">
        <f t="shared" si="126"/>
        <v>38.707</v>
      </c>
      <c r="G923" s="270">
        <v>2.691</v>
      </c>
      <c r="H923" s="270">
        <v>4.031</v>
      </c>
      <c r="I923" s="270">
        <v>31.985</v>
      </c>
      <c r="J923" s="282"/>
      <c r="K923" s="270">
        <f t="shared" si="127"/>
        <v>31.985</v>
      </c>
      <c r="L923" s="261">
        <v>1345.35</v>
      </c>
      <c r="M923" s="272">
        <f t="shared" si="128"/>
        <v>0.023774482476678932</v>
      </c>
      <c r="N923" s="271">
        <v>245.9</v>
      </c>
      <c r="O923" s="271">
        <f t="shared" si="129"/>
        <v>5.84614524101535</v>
      </c>
      <c r="P923" s="267">
        <f t="shared" si="130"/>
        <v>1426.468948600736</v>
      </c>
      <c r="Q923" s="273">
        <f t="shared" si="131"/>
        <v>350.768714460921</v>
      </c>
      <c r="S923" s="80"/>
      <c r="T923" s="80"/>
    </row>
    <row r="924" spans="1:20" ht="12.75">
      <c r="A924" s="940"/>
      <c r="B924" s="231">
        <v>9</v>
      </c>
      <c r="C924" s="256" t="s">
        <v>746</v>
      </c>
      <c r="D924" s="219">
        <v>55</v>
      </c>
      <c r="E924" s="219" t="s">
        <v>738</v>
      </c>
      <c r="F924" s="270">
        <f t="shared" si="126"/>
        <v>76.217</v>
      </c>
      <c r="G924" s="270">
        <v>7.562</v>
      </c>
      <c r="H924" s="270">
        <v>8.8</v>
      </c>
      <c r="I924" s="270">
        <v>59.855</v>
      </c>
      <c r="J924" s="282"/>
      <c r="K924" s="270">
        <f t="shared" si="127"/>
        <v>59.855</v>
      </c>
      <c r="L924" s="261">
        <v>2472.96</v>
      </c>
      <c r="M924" s="272">
        <f t="shared" si="128"/>
        <v>0.024203788172877844</v>
      </c>
      <c r="N924" s="271">
        <v>245.9</v>
      </c>
      <c r="O924" s="271">
        <f t="shared" si="129"/>
        <v>5.951711511710662</v>
      </c>
      <c r="P924" s="267">
        <f t="shared" si="130"/>
        <v>1452.2272903726707</v>
      </c>
      <c r="Q924" s="273">
        <f t="shared" si="131"/>
        <v>357.10269070263973</v>
      </c>
      <c r="S924" s="80"/>
      <c r="T924" s="80"/>
    </row>
    <row r="925" spans="1:20" ht="13.5" thickBot="1">
      <c r="A925" s="941"/>
      <c r="B925" s="232">
        <v>10</v>
      </c>
      <c r="C925" s="256" t="s">
        <v>747</v>
      </c>
      <c r="D925" s="232">
        <v>25</v>
      </c>
      <c r="E925" s="219" t="s">
        <v>738</v>
      </c>
      <c r="F925" s="274">
        <f t="shared" si="126"/>
        <v>41.146</v>
      </c>
      <c r="G925" s="274">
        <v>3.478</v>
      </c>
      <c r="H925" s="274">
        <v>3.876</v>
      </c>
      <c r="I925" s="274">
        <v>33.792</v>
      </c>
      <c r="J925" s="741"/>
      <c r="K925" s="274">
        <f t="shared" si="127"/>
        <v>33.792</v>
      </c>
      <c r="L925" s="263">
        <v>1389.64</v>
      </c>
      <c r="M925" s="276">
        <f t="shared" si="128"/>
        <v>0.02431708931809677</v>
      </c>
      <c r="N925" s="275">
        <v>245.9</v>
      </c>
      <c r="O925" s="275">
        <f t="shared" si="129"/>
        <v>5.979572263319996</v>
      </c>
      <c r="P925" s="275">
        <f t="shared" si="130"/>
        <v>1459.0253590858063</v>
      </c>
      <c r="Q925" s="277">
        <f t="shared" si="131"/>
        <v>358.7743357991998</v>
      </c>
      <c r="S925" s="80"/>
      <c r="T925" s="80"/>
    </row>
    <row r="926" spans="1:20" ht="12.75">
      <c r="A926" s="928" t="s">
        <v>12</v>
      </c>
      <c r="B926" s="38">
        <v>1</v>
      </c>
      <c r="C926" s="225" t="s">
        <v>748</v>
      </c>
      <c r="D926" s="38">
        <v>36</v>
      </c>
      <c r="E926" s="38" t="s">
        <v>735</v>
      </c>
      <c r="F926" s="204">
        <f t="shared" si="126"/>
        <v>69.434</v>
      </c>
      <c r="G926" s="394">
        <v>5.189</v>
      </c>
      <c r="H926" s="394">
        <v>5.582</v>
      </c>
      <c r="I926" s="394">
        <v>58.663</v>
      </c>
      <c r="J926" s="567"/>
      <c r="K926" s="204">
        <f t="shared" si="127"/>
        <v>58.663</v>
      </c>
      <c r="L926" s="332">
        <v>2323.22</v>
      </c>
      <c r="M926" s="213">
        <f t="shared" si="128"/>
        <v>0.025250729590826526</v>
      </c>
      <c r="N926" s="164">
        <v>245.9</v>
      </c>
      <c r="O926" s="164">
        <f t="shared" si="129"/>
        <v>6.2091544063842425</v>
      </c>
      <c r="P926" s="164">
        <f t="shared" si="130"/>
        <v>1515.0437754495915</v>
      </c>
      <c r="Q926" s="285">
        <f t="shared" si="131"/>
        <v>372.54926438305455</v>
      </c>
      <c r="S926" s="80"/>
      <c r="T926" s="80"/>
    </row>
    <row r="927" spans="1:20" ht="12.75">
      <c r="A927" s="929"/>
      <c r="B927" s="73">
        <v>2</v>
      </c>
      <c r="C927" s="45" t="s">
        <v>749</v>
      </c>
      <c r="D927" s="40">
        <v>18</v>
      </c>
      <c r="E927" s="40" t="s">
        <v>735</v>
      </c>
      <c r="F927" s="204">
        <f t="shared" si="126"/>
        <v>33.449999999999996</v>
      </c>
      <c r="G927" s="172">
        <v>1.776</v>
      </c>
      <c r="H927" s="172">
        <v>2.8</v>
      </c>
      <c r="I927" s="172">
        <v>28.874</v>
      </c>
      <c r="J927" s="40"/>
      <c r="K927" s="40">
        <f t="shared" si="127"/>
        <v>28.874</v>
      </c>
      <c r="L927" s="297">
        <v>1136.43</v>
      </c>
      <c r="M927" s="214">
        <f t="shared" si="128"/>
        <v>0.025407636194046266</v>
      </c>
      <c r="N927" s="290">
        <v>245.9</v>
      </c>
      <c r="O927" s="290">
        <f t="shared" si="129"/>
        <v>6.247737740115977</v>
      </c>
      <c r="P927" s="164">
        <f t="shared" si="130"/>
        <v>1524.4581716427758</v>
      </c>
      <c r="Q927" s="291">
        <f t="shared" si="131"/>
        <v>374.86426440695857</v>
      </c>
      <c r="S927" s="80"/>
      <c r="T927" s="80"/>
    </row>
    <row r="928" spans="1:20" ht="12.75">
      <c r="A928" s="929"/>
      <c r="B928" s="73">
        <v>3</v>
      </c>
      <c r="C928" s="45" t="s">
        <v>750</v>
      </c>
      <c r="D928" s="40">
        <v>10</v>
      </c>
      <c r="E928" s="40" t="s">
        <v>735</v>
      </c>
      <c r="F928" s="204">
        <f t="shared" si="126"/>
        <v>18.919999999999998</v>
      </c>
      <c r="G928" s="172">
        <v>0.85</v>
      </c>
      <c r="H928" s="172">
        <v>1.699</v>
      </c>
      <c r="I928" s="172">
        <v>16.371</v>
      </c>
      <c r="J928" s="367"/>
      <c r="K928" s="172">
        <f t="shared" si="127"/>
        <v>16.371</v>
      </c>
      <c r="L928" s="297">
        <v>641.72</v>
      </c>
      <c r="M928" s="214">
        <f t="shared" si="128"/>
        <v>0.025511126347939908</v>
      </c>
      <c r="N928" s="290">
        <v>245.9</v>
      </c>
      <c r="O928" s="290">
        <f t="shared" si="129"/>
        <v>6.2731859689584235</v>
      </c>
      <c r="P928" s="164">
        <f t="shared" si="130"/>
        <v>1530.6675808763946</v>
      </c>
      <c r="Q928" s="291">
        <f t="shared" si="131"/>
        <v>376.39115813750544</v>
      </c>
      <c r="S928" s="80"/>
      <c r="T928" s="80"/>
    </row>
    <row r="929" spans="1:20" ht="12.75">
      <c r="A929" s="930"/>
      <c r="B929" s="40">
        <v>4</v>
      </c>
      <c r="C929" s="45" t="s">
        <v>751</v>
      </c>
      <c r="D929" s="40">
        <v>40</v>
      </c>
      <c r="E929" s="40" t="s">
        <v>738</v>
      </c>
      <c r="F929" s="204">
        <f t="shared" si="126"/>
        <v>69.035</v>
      </c>
      <c r="G929" s="172">
        <v>4.418</v>
      </c>
      <c r="H929" s="172">
        <v>6.4</v>
      </c>
      <c r="I929" s="172">
        <v>58.217</v>
      </c>
      <c r="J929" s="367"/>
      <c r="K929" s="172">
        <f t="shared" si="127"/>
        <v>58.217</v>
      </c>
      <c r="L929" s="297">
        <v>2272.52</v>
      </c>
      <c r="M929" s="214">
        <f t="shared" si="128"/>
        <v>0.02561781634485065</v>
      </c>
      <c r="N929" s="290">
        <v>245.9</v>
      </c>
      <c r="O929" s="290">
        <f t="shared" si="129"/>
        <v>6.299421039198775</v>
      </c>
      <c r="P929" s="164">
        <f t="shared" si="130"/>
        <v>1537.0689806910389</v>
      </c>
      <c r="Q929" s="291">
        <f t="shared" si="131"/>
        <v>377.96526235192647</v>
      </c>
      <c r="S929" s="80"/>
      <c r="T929" s="80"/>
    </row>
    <row r="930" spans="1:20" ht="12.75">
      <c r="A930" s="930"/>
      <c r="B930" s="40">
        <v>5</v>
      </c>
      <c r="C930" s="45" t="s">
        <v>752</v>
      </c>
      <c r="D930" s="40">
        <v>25</v>
      </c>
      <c r="E930" s="40" t="s">
        <v>735</v>
      </c>
      <c r="F930" s="204">
        <f t="shared" si="126"/>
        <v>41.72</v>
      </c>
      <c r="G930" s="172">
        <v>3.087</v>
      </c>
      <c r="H930" s="172">
        <v>4</v>
      </c>
      <c r="I930" s="172">
        <v>34.633</v>
      </c>
      <c r="J930" s="367"/>
      <c r="K930" s="172">
        <f t="shared" si="127"/>
        <v>34.633</v>
      </c>
      <c r="L930" s="297">
        <v>1349.82</v>
      </c>
      <c r="M930" s="214">
        <f t="shared" si="128"/>
        <v>0.0256574950734172</v>
      </c>
      <c r="N930" s="290">
        <v>245.9</v>
      </c>
      <c r="O930" s="290">
        <f t="shared" si="129"/>
        <v>6.30917803855329</v>
      </c>
      <c r="P930" s="164">
        <f t="shared" si="130"/>
        <v>1539.449704405032</v>
      </c>
      <c r="Q930" s="291">
        <f t="shared" si="131"/>
        <v>378.55068231319734</v>
      </c>
      <c r="S930" s="80"/>
      <c r="T930" s="80"/>
    </row>
    <row r="931" spans="1:20" ht="12.75">
      <c r="A931" s="930"/>
      <c r="B931" s="40">
        <v>6</v>
      </c>
      <c r="C931" s="45" t="s">
        <v>753</v>
      </c>
      <c r="D931" s="40">
        <v>20</v>
      </c>
      <c r="E931" s="40" t="s">
        <v>735</v>
      </c>
      <c r="F931" s="204">
        <f t="shared" si="126"/>
        <v>35.169</v>
      </c>
      <c r="G931" s="172">
        <v>3.059</v>
      </c>
      <c r="H931" s="172">
        <v>3.2</v>
      </c>
      <c r="I931" s="172">
        <v>28.91</v>
      </c>
      <c r="J931" s="367"/>
      <c r="K931" s="172">
        <f t="shared" si="127"/>
        <v>28.91</v>
      </c>
      <c r="L931" s="297">
        <v>1084.65</v>
      </c>
      <c r="M931" s="214">
        <f t="shared" si="128"/>
        <v>0.026653759277186186</v>
      </c>
      <c r="N931" s="290">
        <v>245.9</v>
      </c>
      <c r="O931" s="290">
        <f t="shared" si="129"/>
        <v>6.554159406260084</v>
      </c>
      <c r="P931" s="164">
        <f t="shared" si="130"/>
        <v>1599.2255566311712</v>
      </c>
      <c r="Q931" s="291">
        <f t="shared" si="131"/>
        <v>393.249564375605</v>
      </c>
      <c r="S931" s="80"/>
      <c r="T931" s="80"/>
    </row>
    <row r="932" spans="1:20" ht="12.75">
      <c r="A932" s="930"/>
      <c r="B932" s="40">
        <v>7</v>
      </c>
      <c r="C932" s="45" t="s">
        <v>754</v>
      </c>
      <c r="D932" s="40">
        <v>10</v>
      </c>
      <c r="E932" s="40" t="s">
        <v>735</v>
      </c>
      <c r="F932" s="204">
        <f t="shared" si="126"/>
        <v>12.875</v>
      </c>
      <c r="G932" s="172">
        <v>1.303</v>
      </c>
      <c r="H932" s="172">
        <v>0.08</v>
      </c>
      <c r="I932" s="172">
        <v>11.492</v>
      </c>
      <c r="J932" s="367"/>
      <c r="K932" s="172">
        <f t="shared" si="127"/>
        <v>11.492</v>
      </c>
      <c r="L932" s="297">
        <v>400.21</v>
      </c>
      <c r="M932" s="214">
        <f t="shared" si="128"/>
        <v>0.028714924664551115</v>
      </c>
      <c r="N932" s="290">
        <v>245.9</v>
      </c>
      <c r="O932" s="290">
        <f t="shared" si="129"/>
        <v>7.060999975013119</v>
      </c>
      <c r="P932" s="164">
        <f t="shared" si="130"/>
        <v>1722.895479873067</v>
      </c>
      <c r="Q932" s="291">
        <f t="shared" si="131"/>
        <v>423.6599985007872</v>
      </c>
      <c r="S932" s="80"/>
      <c r="T932" s="80"/>
    </row>
    <row r="933" spans="1:20" ht="12.75">
      <c r="A933" s="930"/>
      <c r="B933" s="40">
        <v>8</v>
      </c>
      <c r="C933" s="45" t="s">
        <v>755</v>
      </c>
      <c r="D933" s="40">
        <v>12</v>
      </c>
      <c r="E933" s="40" t="s">
        <v>735</v>
      </c>
      <c r="F933" s="204">
        <f t="shared" si="126"/>
        <v>18.451999999999998</v>
      </c>
      <c r="G933" s="172">
        <v>0.587</v>
      </c>
      <c r="H933" s="172">
        <v>1.92</v>
      </c>
      <c r="I933" s="172">
        <v>15.945</v>
      </c>
      <c r="J933" s="367"/>
      <c r="K933" s="172">
        <f t="shared" si="127"/>
        <v>15.945</v>
      </c>
      <c r="L933" s="297">
        <v>533.8</v>
      </c>
      <c r="M933" s="214">
        <f t="shared" si="128"/>
        <v>0.029870738104158863</v>
      </c>
      <c r="N933" s="290">
        <v>245.9</v>
      </c>
      <c r="O933" s="290">
        <f t="shared" si="129"/>
        <v>7.3452144998126645</v>
      </c>
      <c r="P933" s="164">
        <f t="shared" si="130"/>
        <v>1792.2442862495318</v>
      </c>
      <c r="Q933" s="291">
        <f t="shared" si="131"/>
        <v>440.71286998875985</v>
      </c>
      <c r="S933" s="80"/>
      <c r="T933" s="80"/>
    </row>
    <row r="934" spans="1:20" ht="12.75">
      <c r="A934" s="930"/>
      <c r="B934" s="40">
        <v>9</v>
      </c>
      <c r="C934" s="45" t="s">
        <v>756</v>
      </c>
      <c r="D934" s="40">
        <v>8</v>
      </c>
      <c r="E934" s="40" t="s">
        <v>735</v>
      </c>
      <c r="F934" s="204">
        <f t="shared" si="126"/>
        <v>12.61</v>
      </c>
      <c r="G934" s="172">
        <v>0</v>
      </c>
      <c r="H934" s="172">
        <v>0</v>
      </c>
      <c r="I934" s="172">
        <v>12.61</v>
      </c>
      <c r="J934" s="40"/>
      <c r="K934" s="172">
        <f t="shared" si="127"/>
        <v>12.61</v>
      </c>
      <c r="L934" s="297">
        <v>378.95</v>
      </c>
      <c r="M934" s="214">
        <f t="shared" si="128"/>
        <v>0.033276157804459694</v>
      </c>
      <c r="N934" s="290">
        <v>245.9</v>
      </c>
      <c r="O934" s="290">
        <f t="shared" si="129"/>
        <v>8.182607204116639</v>
      </c>
      <c r="P934" s="164">
        <f t="shared" si="130"/>
        <v>1996.5694682675817</v>
      </c>
      <c r="Q934" s="291">
        <f t="shared" si="131"/>
        <v>490.95643224699836</v>
      </c>
      <c r="S934" s="80"/>
      <c r="T934" s="80"/>
    </row>
    <row r="935" spans="1:20" ht="13.5" thickBot="1">
      <c r="A935" s="931"/>
      <c r="B935" s="42">
        <v>10</v>
      </c>
      <c r="C935" s="45" t="s">
        <v>757</v>
      </c>
      <c r="D935" s="42">
        <v>8</v>
      </c>
      <c r="E935" s="42" t="s">
        <v>735</v>
      </c>
      <c r="F935" s="215">
        <f t="shared" si="126"/>
        <v>13.669</v>
      </c>
      <c r="G935" s="215">
        <v>0.057</v>
      </c>
      <c r="H935" s="215">
        <v>0.03</v>
      </c>
      <c r="I935" s="215">
        <v>13.582</v>
      </c>
      <c r="J935" s="568"/>
      <c r="K935" s="215">
        <f t="shared" si="127"/>
        <v>13.582</v>
      </c>
      <c r="L935" s="333">
        <v>389.52</v>
      </c>
      <c r="M935" s="217">
        <f t="shared" si="128"/>
        <v>0.034868556171698505</v>
      </c>
      <c r="N935" s="216">
        <v>245.9</v>
      </c>
      <c r="O935" s="216">
        <f t="shared" si="129"/>
        <v>8.574177962620663</v>
      </c>
      <c r="P935" s="216">
        <f t="shared" si="130"/>
        <v>2092.1133703019104</v>
      </c>
      <c r="Q935" s="288">
        <f t="shared" si="131"/>
        <v>514.4506777572398</v>
      </c>
      <c r="S935" s="80"/>
      <c r="T935" s="80"/>
    </row>
    <row r="936" spans="19:20" ht="12.75">
      <c r="S936" s="80"/>
      <c r="T936" s="80"/>
    </row>
    <row r="937" spans="1:20" ht="15">
      <c r="A937" s="907" t="s">
        <v>55</v>
      </c>
      <c r="B937" s="907"/>
      <c r="C937" s="907"/>
      <c r="D937" s="907"/>
      <c r="E937" s="907"/>
      <c r="F937" s="907"/>
      <c r="G937" s="907"/>
      <c r="H937" s="907"/>
      <c r="I937" s="907"/>
      <c r="J937" s="907"/>
      <c r="K937" s="907"/>
      <c r="L937" s="907"/>
      <c r="M937" s="907"/>
      <c r="N937" s="907"/>
      <c r="O937" s="907"/>
      <c r="P937" s="907"/>
      <c r="Q937" s="907"/>
      <c r="S937" s="80"/>
      <c r="T937" s="80"/>
    </row>
    <row r="938" spans="1:20" ht="13.5" thickBot="1">
      <c r="A938" s="894" t="s">
        <v>758</v>
      </c>
      <c r="B938" s="894"/>
      <c r="C938" s="894"/>
      <c r="D938" s="894"/>
      <c r="E938" s="894"/>
      <c r="F938" s="894"/>
      <c r="G938" s="894"/>
      <c r="H938" s="894"/>
      <c r="I938" s="894"/>
      <c r="J938" s="894"/>
      <c r="K938" s="894"/>
      <c r="L938" s="894"/>
      <c r="M938" s="894"/>
      <c r="N938" s="894"/>
      <c r="O938" s="894"/>
      <c r="P938" s="894"/>
      <c r="Q938" s="894"/>
      <c r="S938" s="80"/>
      <c r="T938" s="80"/>
    </row>
    <row r="939" spans="1:20" ht="12.75" customHeight="1">
      <c r="A939" s="885" t="s">
        <v>1</v>
      </c>
      <c r="B939" s="908" t="s">
        <v>0</v>
      </c>
      <c r="C939" s="880" t="s">
        <v>2</v>
      </c>
      <c r="D939" s="880" t="s">
        <v>3</v>
      </c>
      <c r="E939" s="880" t="s">
        <v>13</v>
      </c>
      <c r="F939" s="911" t="s">
        <v>14</v>
      </c>
      <c r="G939" s="912"/>
      <c r="H939" s="912"/>
      <c r="I939" s="913"/>
      <c r="J939" s="880" t="s">
        <v>4</v>
      </c>
      <c r="K939" s="880" t="s">
        <v>15</v>
      </c>
      <c r="L939" s="880" t="s">
        <v>5</v>
      </c>
      <c r="M939" s="880" t="s">
        <v>6</v>
      </c>
      <c r="N939" s="880" t="s">
        <v>16</v>
      </c>
      <c r="O939" s="892" t="s">
        <v>17</v>
      </c>
      <c r="P939" s="880" t="s">
        <v>25</v>
      </c>
      <c r="Q939" s="890" t="s">
        <v>26</v>
      </c>
      <c r="S939" s="80"/>
      <c r="T939" s="80"/>
    </row>
    <row r="940" spans="1:20" s="2" customFormat="1" ht="33.75">
      <c r="A940" s="886"/>
      <c r="B940" s="909"/>
      <c r="C940" s="888"/>
      <c r="D940" s="881"/>
      <c r="E940" s="881"/>
      <c r="F940" s="36" t="s">
        <v>18</v>
      </c>
      <c r="G940" s="36" t="s">
        <v>19</v>
      </c>
      <c r="H940" s="36" t="s">
        <v>20</v>
      </c>
      <c r="I940" s="36" t="s">
        <v>21</v>
      </c>
      <c r="J940" s="881"/>
      <c r="K940" s="881"/>
      <c r="L940" s="881"/>
      <c r="M940" s="881"/>
      <c r="N940" s="881"/>
      <c r="O940" s="893"/>
      <c r="P940" s="881"/>
      <c r="Q940" s="891"/>
      <c r="S940" s="80"/>
      <c r="T940" s="80"/>
    </row>
    <row r="941" spans="1:20" s="3" customFormat="1" ht="13.5" customHeight="1" thickBot="1">
      <c r="A941" s="887"/>
      <c r="B941" s="910"/>
      <c r="C941" s="889"/>
      <c r="D941" s="52" t="s">
        <v>7</v>
      </c>
      <c r="E941" s="52" t="s">
        <v>8</v>
      </c>
      <c r="F941" s="52" t="s">
        <v>9</v>
      </c>
      <c r="G941" s="52" t="s">
        <v>9</v>
      </c>
      <c r="H941" s="52" t="s">
        <v>9</v>
      </c>
      <c r="I941" s="52" t="s">
        <v>9</v>
      </c>
      <c r="J941" s="52" t="s">
        <v>22</v>
      </c>
      <c r="K941" s="52" t="s">
        <v>9</v>
      </c>
      <c r="L941" s="52" t="s">
        <v>22</v>
      </c>
      <c r="M941" s="52" t="s">
        <v>23</v>
      </c>
      <c r="N941" s="52" t="s">
        <v>10</v>
      </c>
      <c r="O941" s="52" t="s">
        <v>24</v>
      </c>
      <c r="P941" s="53" t="s">
        <v>27</v>
      </c>
      <c r="Q941" s="54" t="s">
        <v>28</v>
      </c>
      <c r="S941" s="80"/>
      <c r="T941" s="80"/>
    </row>
    <row r="942" spans="1:20" ht="12.75">
      <c r="A942" s="915" t="s">
        <v>11</v>
      </c>
      <c r="B942" s="30">
        <v>1</v>
      </c>
      <c r="C942" s="56" t="s">
        <v>759</v>
      </c>
      <c r="D942" s="55">
        <v>15</v>
      </c>
      <c r="E942" s="55">
        <v>2006</v>
      </c>
      <c r="F942" s="235">
        <v>14.9</v>
      </c>
      <c r="G942" s="235">
        <v>2.29</v>
      </c>
      <c r="H942" s="235">
        <v>1.2</v>
      </c>
      <c r="I942" s="235">
        <v>11.45</v>
      </c>
      <c r="J942" s="564"/>
      <c r="K942" s="237">
        <v>11.5</v>
      </c>
      <c r="L942" s="86">
        <v>1104</v>
      </c>
      <c r="M942" s="237">
        <f>K942/L942</f>
        <v>0.010416666666666666</v>
      </c>
      <c r="N942" s="236">
        <v>232.6</v>
      </c>
      <c r="O942" s="238">
        <f>M942*N942</f>
        <v>2.4229166666666666</v>
      </c>
      <c r="P942" s="238">
        <f>M942*60*1000</f>
        <v>625</v>
      </c>
      <c r="Q942" s="239">
        <f>P942*N942/1000</f>
        <v>145.375</v>
      </c>
      <c r="R942" s="6"/>
      <c r="S942" s="80"/>
      <c r="T942" s="80"/>
    </row>
    <row r="943" spans="1:20" ht="12.75">
      <c r="A943" s="916"/>
      <c r="B943" s="31">
        <v>2</v>
      </c>
      <c r="C943" s="16" t="s">
        <v>760</v>
      </c>
      <c r="D943" s="31">
        <v>73</v>
      </c>
      <c r="E943" s="31">
        <v>2007</v>
      </c>
      <c r="F943" s="135">
        <v>90</v>
      </c>
      <c r="G943" s="135">
        <v>8.08</v>
      </c>
      <c r="H943" s="135">
        <v>5.84</v>
      </c>
      <c r="I943" s="135">
        <v>76.16</v>
      </c>
      <c r="J943" s="161"/>
      <c r="K943" s="122">
        <v>76.2</v>
      </c>
      <c r="L943" s="163">
        <v>5307</v>
      </c>
      <c r="M943" s="122">
        <f>K943/L943</f>
        <v>0.014358394573205202</v>
      </c>
      <c r="N943" s="236">
        <v>232.6</v>
      </c>
      <c r="O943" s="121">
        <f>M943*N943</f>
        <v>3.3397625777275297</v>
      </c>
      <c r="P943" s="238">
        <f>M943*60*1000</f>
        <v>861.5036743923122</v>
      </c>
      <c r="Q943" s="123">
        <f>P943*N943/1000</f>
        <v>200.3857546636518</v>
      </c>
      <c r="R943" s="6"/>
      <c r="S943" s="80"/>
      <c r="T943" s="80"/>
    </row>
    <row r="944" spans="1:20" ht="12.75">
      <c r="A944" s="916"/>
      <c r="B944" s="31">
        <v>3</v>
      </c>
      <c r="C944" s="16"/>
      <c r="D944" s="31"/>
      <c r="E944" s="31"/>
      <c r="F944" s="135"/>
      <c r="G944" s="135"/>
      <c r="H944" s="135"/>
      <c r="I944" s="135"/>
      <c r="J944" s="161"/>
      <c r="K944" s="237"/>
      <c r="L944" s="163"/>
      <c r="M944" s="122"/>
      <c r="N944" s="236"/>
      <c r="O944" s="121"/>
      <c r="P944" s="238"/>
      <c r="Q944" s="123"/>
      <c r="R944" s="6"/>
      <c r="S944" s="80"/>
      <c r="T944" s="80"/>
    </row>
    <row r="945" spans="1:20" ht="12.75">
      <c r="A945" s="916"/>
      <c r="B945" s="31">
        <v>4</v>
      </c>
      <c r="C945" s="16"/>
      <c r="D945" s="31"/>
      <c r="E945" s="31"/>
      <c r="F945" s="135"/>
      <c r="G945" s="135"/>
      <c r="H945" s="135"/>
      <c r="I945" s="135"/>
      <c r="J945" s="161"/>
      <c r="K945" s="237"/>
      <c r="L945" s="163"/>
      <c r="M945" s="122"/>
      <c r="N945" s="236"/>
      <c r="O945" s="121"/>
      <c r="P945" s="238"/>
      <c r="Q945" s="123"/>
      <c r="R945" s="6"/>
      <c r="S945" s="80"/>
      <c r="T945" s="80"/>
    </row>
    <row r="946" spans="1:20" ht="12.75">
      <c r="A946" s="916"/>
      <c r="B946" s="31">
        <v>5</v>
      </c>
      <c r="C946" s="16"/>
      <c r="D946" s="31"/>
      <c r="E946" s="31"/>
      <c r="F946" s="135"/>
      <c r="G946" s="135"/>
      <c r="H946" s="135"/>
      <c r="I946" s="135"/>
      <c r="J946" s="161"/>
      <c r="K946" s="237"/>
      <c r="L946" s="163"/>
      <c r="M946" s="122"/>
      <c r="N946" s="236"/>
      <c r="O946" s="121"/>
      <c r="P946" s="238"/>
      <c r="Q946" s="123"/>
      <c r="R946" s="6"/>
      <c r="S946" s="80"/>
      <c r="T946" s="80"/>
    </row>
    <row r="947" spans="1:20" ht="12.75">
      <c r="A947" s="916"/>
      <c r="B947" s="31">
        <v>6</v>
      </c>
      <c r="C947" s="16"/>
      <c r="D947" s="31"/>
      <c r="E947" s="31"/>
      <c r="F947" s="135"/>
      <c r="G947" s="135"/>
      <c r="H947" s="135"/>
      <c r="I947" s="135"/>
      <c r="J947" s="161"/>
      <c r="K947" s="237"/>
      <c r="L947" s="163"/>
      <c r="M947" s="122"/>
      <c r="N947" s="236"/>
      <c r="O947" s="121"/>
      <c r="P947" s="238"/>
      <c r="Q947" s="123"/>
      <c r="R947" s="6"/>
      <c r="S947" s="80"/>
      <c r="T947" s="80"/>
    </row>
    <row r="948" spans="1:20" ht="12.75">
      <c r="A948" s="916"/>
      <c r="B948" s="31">
        <v>7</v>
      </c>
      <c r="C948" s="16"/>
      <c r="D948" s="31"/>
      <c r="E948" s="31"/>
      <c r="F948" s="135"/>
      <c r="G948" s="135"/>
      <c r="H948" s="135"/>
      <c r="I948" s="135"/>
      <c r="J948" s="161"/>
      <c r="K948" s="237"/>
      <c r="L948" s="163"/>
      <c r="M948" s="122"/>
      <c r="N948" s="236"/>
      <c r="O948" s="121"/>
      <c r="P948" s="238"/>
      <c r="Q948" s="123"/>
      <c r="R948" s="6"/>
      <c r="S948" s="80"/>
      <c r="T948" s="80"/>
    </row>
    <row r="949" spans="1:20" ht="12.75">
      <c r="A949" s="916"/>
      <c r="B949" s="31">
        <v>8</v>
      </c>
      <c r="C949" s="16"/>
      <c r="D949" s="31"/>
      <c r="E949" s="31"/>
      <c r="F949" s="135"/>
      <c r="G949" s="135"/>
      <c r="H949" s="135"/>
      <c r="I949" s="135"/>
      <c r="J949" s="161"/>
      <c r="K949" s="237"/>
      <c r="L949" s="163"/>
      <c r="M949" s="122"/>
      <c r="N949" s="236"/>
      <c r="O949" s="121"/>
      <c r="P949" s="238"/>
      <c r="Q949" s="123"/>
      <c r="R949" s="6"/>
      <c r="S949" s="80"/>
      <c r="T949" s="80"/>
    </row>
    <row r="950" spans="1:20" ht="12.75">
      <c r="A950" s="916"/>
      <c r="B950" s="31">
        <v>9</v>
      </c>
      <c r="C950" s="16"/>
      <c r="D950" s="31"/>
      <c r="E950" s="31"/>
      <c r="F950" s="135"/>
      <c r="G950" s="135"/>
      <c r="H950" s="135"/>
      <c r="I950" s="135"/>
      <c r="J950" s="161"/>
      <c r="K950" s="237"/>
      <c r="L950" s="163"/>
      <c r="M950" s="122"/>
      <c r="N950" s="236"/>
      <c r="O950" s="121"/>
      <c r="P950" s="238"/>
      <c r="Q950" s="123"/>
      <c r="R950" s="6"/>
      <c r="S950" s="80"/>
      <c r="T950" s="80"/>
    </row>
    <row r="951" spans="1:20" ht="13.5" thickBot="1">
      <c r="A951" s="942"/>
      <c r="B951" s="57">
        <v>10</v>
      </c>
      <c r="C951" s="58"/>
      <c r="D951" s="57"/>
      <c r="E951" s="57"/>
      <c r="F951" s="203"/>
      <c r="G951" s="203"/>
      <c r="H951" s="203"/>
      <c r="I951" s="203"/>
      <c r="J951" s="565"/>
      <c r="K951" s="237"/>
      <c r="L951" s="311"/>
      <c r="M951" s="125"/>
      <c r="N951" s="516"/>
      <c r="O951" s="425"/>
      <c r="P951" s="124"/>
      <c r="Q951" s="126"/>
      <c r="R951" s="6"/>
      <c r="S951" s="80"/>
      <c r="T951" s="80"/>
    </row>
    <row r="952" spans="1:20" ht="11.25" customHeight="1">
      <c r="A952" s="943" t="s">
        <v>29</v>
      </c>
      <c r="B952" s="60">
        <v>1</v>
      </c>
      <c r="C952" s="34" t="s">
        <v>761</v>
      </c>
      <c r="D952" s="35">
        <v>60</v>
      </c>
      <c r="E952" s="35">
        <v>1964</v>
      </c>
      <c r="F952" s="247">
        <v>63.4</v>
      </c>
      <c r="G952" s="247">
        <v>4.9</v>
      </c>
      <c r="H952" s="247">
        <v>9.6</v>
      </c>
      <c r="I952" s="248">
        <v>47.7</v>
      </c>
      <c r="J952" s="569"/>
      <c r="K952" s="839">
        <f aca="true" t="shared" si="132" ref="K952:K981">I952</f>
        <v>47.7</v>
      </c>
      <c r="L952" s="397">
        <v>2712</v>
      </c>
      <c r="M952" s="136">
        <f aca="true" t="shared" si="133" ref="M952:M981">K952/L952</f>
        <v>0.01758849557522124</v>
      </c>
      <c r="N952" s="249">
        <v>232.6</v>
      </c>
      <c r="O952" s="137">
        <f aca="true" t="shared" si="134" ref="O952:O981">M952*N952</f>
        <v>4.091084070796461</v>
      </c>
      <c r="P952" s="137">
        <f aca="true" t="shared" si="135" ref="P952:P981">M952*60*1000</f>
        <v>1055.3097345132744</v>
      </c>
      <c r="Q952" s="157">
        <f aca="true" t="shared" si="136" ref="Q952:Q981">P952*N952/1000</f>
        <v>245.46504424778763</v>
      </c>
      <c r="R952" s="6"/>
      <c r="S952" s="80"/>
      <c r="T952" s="80"/>
    </row>
    <row r="953" spans="1:20" ht="12.75" customHeight="1">
      <c r="A953" s="944"/>
      <c r="B953" s="35">
        <v>2</v>
      </c>
      <c r="C953" s="34" t="s">
        <v>762</v>
      </c>
      <c r="D953" s="35">
        <v>48</v>
      </c>
      <c r="E953" s="35">
        <v>1964</v>
      </c>
      <c r="F953" s="248">
        <v>53.25</v>
      </c>
      <c r="G953" s="248">
        <v>3.5</v>
      </c>
      <c r="H953" s="248">
        <v>7.68</v>
      </c>
      <c r="I953" s="248">
        <v>41.4</v>
      </c>
      <c r="J953" s="251"/>
      <c r="K953" s="128">
        <f t="shared" si="132"/>
        <v>41.4</v>
      </c>
      <c r="L953" s="110">
        <v>2296</v>
      </c>
      <c r="M953" s="136">
        <f t="shared" si="133"/>
        <v>0.01803135888501742</v>
      </c>
      <c r="N953" s="137">
        <v>232.6</v>
      </c>
      <c r="O953" s="137">
        <f t="shared" si="134"/>
        <v>4.194094076655052</v>
      </c>
      <c r="P953" s="137">
        <f t="shared" si="135"/>
        <v>1081.881533101045</v>
      </c>
      <c r="Q953" s="157">
        <f t="shared" si="136"/>
        <v>251.64564459930307</v>
      </c>
      <c r="R953" s="6"/>
      <c r="S953" s="80"/>
      <c r="T953" s="80"/>
    </row>
    <row r="954" spans="1:20" ht="12.75" customHeight="1">
      <c r="A954" s="944"/>
      <c r="B954" s="35">
        <v>3</v>
      </c>
      <c r="C954" s="34" t="s">
        <v>763</v>
      </c>
      <c r="D954" s="35">
        <v>60</v>
      </c>
      <c r="E954" s="35">
        <v>1964</v>
      </c>
      <c r="F954" s="248" t="s">
        <v>764</v>
      </c>
      <c r="G954" s="248">
        <v>4.4</v>
      </c>
      <c r="H954" s="248">
        <v>9.6</v>
      </c>
      <c r="I954" s="248">
        <v>53.8</v>
      </c>
      <c r="J954" s="251"/>
      <c r="K954" s="128">
        <f t="shared" si="132"/>
        <v>53.8</v>
      </c>
      <c r="L954" s="110">
        <v>2697</v>
      </c>
      <c r="M954" s="128">
        <f t="shared" si="133"/>
        <v>0.019948090470893583</v>
      </c>
      <c r="N954" s="137">
        <v>232.6</v>
      </c>
      <c r="O954" s="137">
        <f t="shared" si="134"/>
        <v>4.639925843529848</v>
      </c>
      <c r="P954" s="137">
        <f t="shared" si="135"/>
        <v>1196.885428253615</v>
      </c>
      <c r="Q954" s="155">
        <f t="shared" si="136"/>
        <v>278.39555061179084</v>
      </c>
      <c r="R954" s="6"/>
      <c r="S954" s="80"/>
      <c r="T954" s="80"/>
    </row>
    <row r="955" spans="1:20" ht="12.75" customHeight="1">
      <c r="A955" s="944"/>
      <c r="B955" s="35">
        <v>4</v>
      </c>
      <c r="C955" s="34" t="s">
        <v>765</v>
      </c>
      <c r="D955" s="35">
        <v>48</v>
      </c>
      <c r="E955" s="35">
        <v>1961</v>
      </c>
      <c r="F955" s="248">
        <v>60.5</v>
      </c>
      <c r="G955" s="248">
        <v>3.9</v>
      </c>
      <c r="H955" s="248">
        <v>7.68</v>
      </c>
      <c r="I955" s="248">
        <v>48.9</v>
      </c>
      <c r="J955" s="251"/>
      <c r="K955" s="128">
        <f t="shared" si="132"/>
        <v>48.9</v>
      </c>
      <c r="L955" s="110">
        <v>2394</v>
      </c>
      <c r="M955" s="128">
        <f t="shared" si="133"/>
        <v>0.020426065162907268</v>
      </c>
      <c r="N955" s="137">
        <v>232.6</v>
      </c>
      <c r="O955" s="127">
        <f t="shared" si="134"/>
        <v>4.75110275689223</v>
      </c>
      <c r="P955" s="137">
        <f t="shared" si="135"/>
        <v>1225.563909774436</v>
      </c>
      <c r="Q955" s="155">
        <f t="shared" si="136"/>
        <v>285.0661654135338</v>
      </c>
      <c r="R955" s="6"/>
      <c r="S955" s="80"/>
      <c r="T955" s="80"/>
    </row>
    <row r="956" spans="1:20" ht="12.75" customHeight="1">
      <c r="A956" s="944"/>
      <c r="B956" s="35">
        <v>5</v>
      </c>
      <c r="C956" s="34" t="s">
        <v>766</v>
      </c>
      <c r="D956" s="35">
        <v>60</v>
      </c>
      <c r="E956" s="35">
        <v>1966</v>
      </c>
      <c r="F956" s="248">
        <v>70.2</v>
      </c>
      <c r="G956" s="248">
        <v>4.5</v>
      </c>
      <c r="H956" s="248">
        <v>9.6</v>
      </c>
      <c r="I956" s="248">
        <v>56</v>
      </c>
      <c r="J956" s="251"/>
      <c r="K956" s="128">
        <f t="shared" si="132"/>
        <v>56</v>
      </c>
      <c r="L956" s="110">
        <v>2701</v>
      </c>
      <c r="M956" s="128">
        <f t="shared" si="133"/>
        <v>0.02073306182895224</v>
      </c>
      <c r="N956" s="137">
        <v>232.6</v>
      </c>
      <c r="O956" s="127">
        <f t="shared" si="134"/>
        <v>4.822510181414291</v>
      </c>
      <c r="P956" s="137">
        <f t="shared" si="135"/>
        <v>1243.9837097371344</v>
      </c>
      <c r="Q956" s="155">
        <f t="shared" si="136"/>
        <v>289.3506108848575</v>
      </c>
      <c r="R956" s="6"/>
      <c r="S956" s="80"/>
      <c r="T956" s="80"/>
    </row>
    <row r="957" spans="1:20" ht="12.75" customHeight="1">
      <c r="A957" s="944"/>
      <c r="B957" s="35">
        <v>6</v>
      </c>
      <c r="C957" s="34" t="s">
        <v>159</v>
      </c>
      <c r="D957" s="35">
        <v>64</v>
      </c>
      <c r="E957" s="35">
        <v>1961</v>
      </c>
      <c r="F957" s="248">
        <v>75.2</v>
      </c>
      <c r="G957" s="248">
        <v>3.3</v>
      </c>
      <c r="H957" s="248">
        <v>10.24</v>
      </c>
      <c r="I957" s="248">
        <v>61.6</v>
      </c>
      <c r="J957" s="251"/>
      <c r="K957" s="128">
        <f t="shared" si="132"/>
        <v>61.6</v>
      </c>
      <c r="L957" s="110">
        <v>2955</v>
      </c>
      <c r="M957" s="128">
        <f t="shared" si="133"/>
        <v>0.020846023688663284</v>
      </c>
      <c r="N957" s="137">
        <v>232.6</v>
      </c>
      <c r="O957" s="127">
        <f t="shared" si="134"/>
        <v>4.84878510998308</v>
      </c>
      <c r="P957" s="137">
        <f t="shared" si="135"/>
        <v>1250.7614213197971</v>
      </c>
      <c r="Q957" s="155">
        <f t="shared" si="136"/>
        <v>290.9271065989848</v>
      </c>
      <c r="R957" s="6"/>
      <c r="S957" s="80"/>
      <c r="T957" s="80"/>
    </row>
    <row r="958" spans="1:20" ht="12.75" customHeight="1">
      <c r="A958" s="944"/>
      <c r="B958" s="35">
        <v>7</v>
      </c>
      <c r="C958" s="34" t="s">
        <v>767</v>
      </c>
      <c r="D958" s="35">
        <v>30</v>
      </c>
      <c r="E958" s="35">
        <v>1972</v>
      </c>
      <c r="F958" s="248">
        <v>43.6</v>
      </c>
      <c r="G958" s="248">
        <v>1.68</v>
      </c>
      <c r="H958" s="248">
        <v>4.72</v>
      </c>
      <c r="I958" s="248">
        <v>37.2</v>
      </c>
      <c r="J958" s="251"/>
      <c r="K958" s="128">
        <f t="shared" si="132"/>
        <v>37.2</v>
      </c>
      <c r="L958" s="110">
        <v>1717</v>
      </c>
      <c r="M958" s="128">
        <f t="shared" si="133"/>
        <v>0.021665695981362844</v>
      </c>
      <c r="N958" s="137">
        <v>232.6</v>
      </c>
      <c r="O958" s="127">
        <f t="shared" si="134"/>
        <v>5.039440885264997</v>
      </c>
      <c r="P958" s="137">
        <f t="shared" si="135"/>
        <v>1299.9417588817705</v>
      </c>
      <c r="Q958" s="155">
        <f t="shared" si="136"/>
        <v>302.3664531158998</v>
      </c>
      <c r="R958" s="6"/>
      <c r="S958" s="80"/>
      <c r="T958" s="80"/>
    </row>
    <row r="959" spans="1:20" ht="12.75" customHeight="1">
      <c r="A959" s="944"/>
      <c r="B959" s="35">
        <v>8</v>
      </c>
      <c r="C959" s="34" t="s">
        <v>768</v>
      </c>
      <c r="D959" s="35">
        <v>64</v>
      </c>
      <c r="E959" s="35">
        <v>1961</v>
      </c>
      <c r="F959" s="248">
        <v>81.79</v>
      </c>
      <c r="G959" s="248">
        <v>5.9</v>
      </c>
      <c r="H959" s="248">
        <v>10.24</v>
      </c>
      <c r="I959" s="248">
        <v>64.1</v>
      </c>
      <c r="J959" s="251"/>
      <c r="K959" s="128">
        <f t="shared" si="132"/>
        <v>64.1</v>
      </c>
      <c r="L959" s="110">
        <v>2956</v>
      </c>
      <c r="M959" s="128">
        <f t="shared" si="133"/>
        <v>0.02168470906630582</v>
      </c>
      <c r="N959" s="137">
        <v>232.6</v>
      </c>
      <c r="O959" s="127">
        <f t="shared" si="134"/>
        <v>5.0438633288227335</v>
      </c>
      <c r="P959" s="137">
        <f t="shared" si="135"/>
        <v>1301.0825439783491</v>
      </c>
      <c r="Q959" s="155">
        <f t="shared" si="136"/>
        <v>302.631799729364</v>
      </c>
      <c r="R959" s="6"/>
      <c r="S959" s="80"/>
      <c r="T959" s="80"/>
    </row>
    <row r="960" spans="1:20" ht="13.5" customHeight="1">
      <c r="A960" s="944"/>
      <c r="B960" s="35">
        <v>9</v>
      </c>
      <c r="C960" s="34" t="s">
        <v>769</v>
      </c>
      <c r="D960" s="35">
        <v>30</v>
      </c>
      <c r="E960" s="35">
        <v>1970</v>
      </c>
      <c r="F960" s="248">
        <v>46</v>
      </c>
      <c r="G960" s="248">
        <v>3.7</v>
      </c>
      <c r="H960" s="248">
        <v>4.8</v>
      </c>
      <c r="I960" s="248">
        <v>37.7</v>
      </c>
      <c r="J960" s="251"/>
      <c r="K960" s="128">
        <f t="shared" si="132"/>
        <v>37.7</v>
      </c>
      <c r="L960" s="110">
        <v>1727</v>
      </c>
      <c r="M960" s="128">
        <f t="shared" si="133"/>
        <v>0.021829762594093804</v>
      </c>
      <c r="N960" s="137">
        <v>232.6</v>
      </c>
      <c r="O960" s="127">
        <f t="shared" si="134"/>
        <v>5.077602779386218</v>
      </c>
      <c r="P960" s="137">
        <f t="shared" si="135"/>
        <v>1309.7857556456283</v>
      </c>
      <c r="Q960" s="155">
        <f t="shared" si="136"/>
        <v>304.65616676317313</v>
      </c>
      <c r="R960" s="6"/>
      <c r="S960" s="80"/>
      <c r="T960" s="80"/>
    </row>
    <row r="961" spans="1:20" ht="13.5" customHeight="1" thickBot="1">
      <c r="A961" s="945"/>
      <c r="B961" s="37">
        <v>10</v>
      </c>
      <c r="C961" s="76" t="s">
        <v>770</v>
      </c>
      <c r="D961" s="37">
        <v>60</v>
      </c>
      <c r="E961" s="37">
        <v>1969</v>
      </c>
      <c r="F961" s="250">
        <v>87.7</v>
      </c>
      <c r="G961" s="250">
        <v>4.28</v>
      </c>
      <c r="H961" s="250">
        <v>9.6</v>
      </c>
      <c r="I961" s="250">
        <v>68.8</v>
      </c>
      <c r="J961" s="383"/>
      <c r="K961" s="136">
        <f t="shared" si="132"/>
        <v>68.8</v>
      </c>
      <c r="L961" s="171">
        <v>3133</v>
      </c>
      <c r="M961" s="205">
        <f t="shared" si="133"/>
        <v>0.021959782955633576</v>
      </c>
      <c r="N961" s="828">
        <v>232.6</v>
      </c>
      <c r="O961" s="158">
        <f t="shared" si="134"/>
        <v>5.10784551548037</v>
      </c>
      <c r="P961" s="158">
        <f t="shared" si="135"/>
        <v>1317.5869773380148</v>
      </c>
      <c r="Q961" s="159">
        <f t="shared" si="136"/>
        <v>306.47073092882226</v>
      </c>
      <c r="R961" s="6"/>
      <c r="S961" s="80"/>
      <c r="T961" s="80"/>
    </row>
    <row r="962" spans="1:20" ht="12.75">
      <c r="A962" s="938" t="s">
        <v>30</v>
      </c>
      <c r="B962" s="262">
        <v>1</v>
      </c>
      <c r="C962" s="254" t="s">
        <v>771</v>
      </c>
      <c r="D962" s="218">
        <v>60</v>
      </c>
      <c r="E962" s="218">
        <v>1985</v>
      </c>
      <c r="F962" s="389">
        <v>95.4</v>
      </c>
      <c r="G962" s="389">
        <v>7.7</v>
      </c>
      <c r="H962" s="389">
        <v>9.6</v>
      </c>
      <c r="I962" s="389">
        <v>78</v>
      </c>
      <c r="J962" s="740"/>
      <c r="K962" s="409">
        <f t="shared" si="132"/>
        <v>78</v>
      </c>
      <c r="L962" s="331">
        <v>3226</v>
      </c>
      <c r="M962" s="268">
        <f t="shared" si="133"/>
        <v>0.02417854928704278</v>
      </c>
      <c r="N962" s="390">
        <v>232.6</v>
      </c>
      <c r="O962" s="267">
        <f t="shared" si="134"/>
        <v>5.62393056416615</v>
      </c>
      <c r="P962" s="267">
        <f t="shared" si="135"/>
        <v>1450.7129572225667</v>
      </c>
      <c r="Q962" s="269">
        <f t="shared" si="136"/>
        <v>337.435833849969</v>
      </c>
      <c r="R962" s="6"/>
      <c r="S962" s="80"/>
      <c r="T962" s="80"/>
    </row>
    <row r="963" spans="1:20" ht="12.75">
      <c r="A963" s="939"/>
      <c r="B963" s="219">
        <v>2</v>
      </c>
      <c r="C963" s="256" t="s">
        <v>772</v>
      </c>
      <c r="D963" s="219">
        <v>36</v>
      </c>
      <c r="E963" s="219">
        <v>1989</v>
      </c>
      <c r="F963" s="270">
        <v>67.2</v>
      </c>
      <c r="G963" s="270">
        <v>4.7</v>
      </c>
      <c r="H963" s="270">
        <v>8.64</v>
      </c>
      <c r="I963" s="270">
        <v>53.8</v>
      </c>
      <c r="J963" s="282"/>
      <c r="K963" s="272">
        <f t="shared" si="132"/>
        <v>53.8</v>
      </c>
      <c r="L963" s="261">
        <v>2219</v>
      </c>
      <c r="M963" s="272">
        <f t="shared" si="133"/>
        <v>0.024245155475439387</v>
      </c>
      <c r="N963" s="267">
        <v>232.6</v>
      </c>
      <c r="O963" s="271">
        <f t="shared" si="134"/>
        <v>5.639423163587201</v>
      </c>
      <c r="P963" s="267">
        <f t="shared" si="135"/>
        <v>1454.7093285263632</v>
      </c>
      <c r="Q963" s="273">
        <f t="shared" si="136"/>
        <v>338.36538981523205</v>
      </c>
      <c r="R963" s="6"/>
      <c r="S963" s="80"/>
      <c r="T963" s="80"/>
    </row>
    <row r="964" spans="1:20" ht="12.75">
      <c r="A964" s="939"/>
      <c r="B964" s="219">
        <v>3</v>
      </c>
      <c r="C964" s="256" t="s">
        <v>773</v>
      </c>
      <c r="D964" s="219">
        <v>60</v>
      </c>
      <c r="E964" s="219">
        <v>1981</v>
      </c>
      <c r="F964" s="270">
        <v>95.9</v>
      </c>
      <c r="G964" s="270">
        <v>6.4</v>
      </c>
      <c r="H964" s="270">
        <v>9.6</v>
      </c>
      <c r="I964" s="270">
        <v>80</v>
      </c>
      <c r="J964" s="282"/>
      <c r="K964" s="272">
        <f t="shared" si="132"/>
        <v>80</v>
      </c>
      <c r="L964" s="261">
        <v>3252</v>
      </c>
      <c r="M964" s="272">
        <f t="shared" si="133"/>
        <v>0.024600246002460024</v>
      </c>
      <c r="N964" s="267">
        <v>232.6</v>
      </c>
      <c r="O964" s="271">
        <f t="shared" si="134"/>
        <v>5.7220172201722015</v>
      </c>
      <c r="P964" s="267">
        <f t="shared" si="135"/>
        <v>1476.0147601476015</v>
      </c>
      <c r="Q964" s="273">
        <f t="shared" si="136"/>
        <v>343.3210332103321</v>
      </c>
      <c r="R964" s="6"/>
      <c r="S964" s="80"/>
      <c r="T964" s="80"/>
    </row>
    <row r="965" spans="1:20" ht="12.75">
      <c r="A965" s="939"/>
      <c r="B965" s="219">
        <v>4</v>
      </c>
      <c r="C965" s="256" t="s">
        <v>774</v>
      </c>
      <c r="D965" s="219">
        <v>15</v>
      </c>
      <c r="E965" s="219">
        <v>1996</v>
      </c>
      <c r="F965" s="270">
        <v>27.16</v>
      </c>
      <c r="G965" s="270">
        <v>2</v>
      </c>
      <c r="H965" s="270">
        <v>2.4</v>
      </c>
      <c r="I965" s="270">
        <v>22.7</v>
      </c>
      <c r="J965" s="282"/>
      <c r="K965" s="272">
        <f t="shared" si="132"/>
        <v>22.7</v>
      </c>
      <c r="L965" s="261">
        <v>906</v>
      </c>
      <c r="M965" s="272">
        <f t="shared" si="133"/>
        <v>0.025055187637969094</v>
      </c>
      <c r="N965" s="267">
        <v>232.6</v>
      </c>
      <c r="O965" s="271">
        <f t="shared" si="134"/>
        <v>5.827836644591611</v>
      </c>
      <c r="P965" s="267">
        <f t="shared" si="135"/>
        <v>1503.3112582781455</v>
      </c>
      <c r="Q965" s="273">
        <f t="shared" si="136"/>
        <v>349.67019867549664</v>
      </c>
      <c r="R965" s="6"/>
      <c r="S965" s="80"/>
      <c r="T965" s="80"/>
    </row>
    <row r="966" spans="1:20" ht="12.75">
      <c r="A966" s="939"/>
      <c r="B966" s="219">
        <v>5</v>
      </c>
      <c r="C966" s="256" t="s">
        <v>775</v>
      </c>
      <c r="D966" s="219">
        <v>36</v>
      </c>
      <c r="E966" s="219">
        <v>1995</v>
      </c>
      <c r="F966" s="270">
        <v>62.3</v>
      </c>
      <c r="G966" s="270">
        <v>4.48</v>
      </c>
      <c r="H966" s="270">
        <v>8.6</v>
      </c>
      <c r="I966" s="270">
        <v>49.2</v>
      </c>
      <c r="J966" s="282"/>
      <c r="K966" s="272">
        <f t="shared" si="132"/>
        <v>49.2</v>
      </c>
      <c r="L966" s="261">
        <v>1959</v>
      </c>
      <c r="M966" s="272">
        <f t="shared" si="133"/>
        <v>0.025114854517611026</v>
      </c>
      <c r="N966" s="267">
        <v>232.6</v>
      </c>
      <c r="O966" s="271">
        <f t="shared" si="134"/>
        <v>5.8417151607963245</v>
      </c>
      <c r="P966" s="267">
        <f t="shared" si="135"/>
        <v>1506.8912710566615</v>
      </c>
      <c r="Q966" s="273">
        <f t="shared" si="136"/>
        <v>350.5029096477794</v>
      </c>
      <c r="R966" s="6"/>
      <c r="S966" s="80"/>
      <c r="T966" s="80"/>
    </row>
    <row r="967" spans="1:20" ht="12.75">
      <c r="A967" s="939"/>
      <c r="B967" s="219">
        <v>6</v>
      </c>
      <c r="C967" s="256" t="s">
        <v>776</v>
      </c>
      <c r="D967" s="219">
        <v>36</v>
      </c>
      <c r="E967" s="219">
        <v>1993</v>
      </c>
      <c r="F967" s="270">
        <v>62.38</v>
      </c>
      <c r="G967" s="270">
        <v>3.2</v>
      </c>
      <c r="H967" s="270">
        <v>8.4</v>
      </c>
      <c r="I967" s="270">
        <v>49.1</v>
      </c>
      <c r="J967" s="282"/>
      <c r="K967" s="272">
        <f t="shared" si="132"/>
        <v>49.1</v>
      </c>
      <c r="L967" s="261">
        <v>1952</v>
      </c>
      <c r="M967" s="272">
        <f t="shared" si="133"/>
        <v>0.025153688524590163</v>
      </c>
      <c r="N967" s="267">
        <v>232.6</v>
      </c>
      <c r="O967" s="271">
        <f t="shared" si="134"/>
        <v>5.850747950819672</v>
      </c>
      <c r="P967" s="267">
        <f t="shared" si="135"/>
        <v>1509.2213114754097</v>
      </c>
      <c r="Q967" s="273">
        <f t="shared" si="136"/>
        <v>351.0448770491803</v>
      </c>
      <c r="R967" s="6"/>
      <c r="S967" s="80"/>
      <c r="T967" s="80"/>
    </row>
    <row r="968" spans="1:20" ht="12.75">
      <c r="A968" s="939"/>
      <c r="B968" s="219">
        <v>7</v>
      </c>
      <c r="C968" s="256" t="s">
        <v>777</v>
      </c>
      <c r="D968" s="219">
        <v>20</v>
      </c>
      <c r="E968" s="219">
        <v>1988</v>
      </c>
      <c r="F968" s="270">
        <v>34.5</v>
      </c>
      <c r="G968" s="270">
        <v>2.6</v>
      </c>
      <c r="H968" s="270">
        <v>3.2</v>
      </c>
      <c r="I968" s="270">
        <v>28.6</v>
      </c>
      <c r="J968" s="282"/>
      <c r="K968" s="272">
        <f t="shared" si="132"/>
        <v>28.6</v>
      </c>
      <c r="L968" s="261">
        <v>1109</v>
      </c>
      <c r="M968" s="272">
        <f t="shared" si="133"/>
        <v>0.025788999098286747</v>
      </c>
      <c r="N968" s="267">
        <v>232.6</v>
      </c>
      <c r="O968" s="271">
        <f t="shared" si="134"/>
        <v>5.998521190261497</v>
      </c>
      <c r="P968" s="267">
        <f t="shared" si="135"/>
        <v>1547.3399458972049</v>
      </c>
      <c r="Q968" s="273">
        <f t="shared" si="136"/>
        <v>359.91127141568984</v>
      </c>
      <c r="R968" s="6"/>
      <c r="S968" s="80"/>
      <c r="T968" s="80"/>
    </row>
    <row r="969" spans="1:20" ht="12.75">
      <c r="A969" s="939"/>
      <c r="B969" s="219">
        <v>8</v>
      </c>
      <c r="C969" s="256" t="s">
        <v>778</v>
      </c>
      <c r="D969" s="219">
        <v>50</v>
      </c>
      <c r="E969" s="219">
        <v>1971</v>
      </c>
      <c r="F969" s="270">
        <v>78</v>
      </c>
      <c r="G969" s="270">
        <v>2.6</v>
      </c>
      <c r="H969" s="270">
        <v>8</v>
      </c>
      <c r="I969" s="270">
        <v>67.4</v>
      </c>
      <c r="J969" s="282"/>
      <c r="K969" s="272">
        <f t="shared" si="132"/>
        <v>67.4</v>
      </c>
      <c r="L969" s="261">
        <v>2563</v>
      </c>
      <c r="M969" s="272">
        <f t="shared" si="133"/>
        <v>0.026297307842372223</v>
      </c>
      <c r="N969" s="267">
        <v>232.6</v>
      </c>
      <c r="O969" s="271">
        <f t="shared" si="134"/>
        <v>6.1167538041357785</v>
      </c>
      <c r="P969" s="267">
        <f t="shared" si="135"/>
        <v>1577.8384705423334</v>
      </c>
      <c r="Q969" s="273">
        <f t="shared" si="136"/>
        <v>367.00522824814675</v>
      </c>
      <c r="R969" s="6"/>
      <c r="S969" s="80"/>
      <c r="T969" s="80"/>
    </row>
    <row r="970" spans="1:20" ht="12.75">
      <c r="A970" s="940"/>
      <c r="B970" s="231">
        <v>9</v>
      </c>
      <c r="C970" s="256" t="s">
        <v>779</v>
      </c>
      <c r="D970" s="219">
        <v>20</v>
      </c>
      <c r="E970" s="219">
        <v>1984</v>
      </c>
      <c r="F970" s="270">
        <v>43.6</v>
      </c>
      <c r="G970" s="270">
        <v>2.5</v>
      </c>
      <c r="H970" s="270">
        <v>3.2</v>
      </c>
      <c r="I970" s="270">
        <v>27.88</v>
      </c>
      <c r="J970" s="282"/>
      <c r="K970" s="272">
        <f t="shared" si="132"/>
        <v>27.88</v>
      </c>
      <c r="L970" s="261">
        <v>1059</v>
      </c>
      <c r="M970" s="272">
        <f t="shared" si="133"/>
        <v>0.026326723323890463</v>
      </c>
      <c r="N970" s="267">
        <v>232.6</v>
      </c>
      <c r="O970" s="271">
        <f t="shared" si="134"/>
        <v>6.123595845136921</v>
      </c>
      <c r="P970" s="267">
        <f t="shared" si="135"/>
        <v>1579.6033994334277</v>
      </c>
      <c r="Q970" s="273">
        <f t="shared" si="136"/>
        <v>367.4157507082153</v>
      </c>
      <c r="R970" s="6"/>
      <c r="S970" s="80"/>
      <c r="T970" s="80"/>
    </row>
    <row r="971" spans="1:20" ht="13.5" thickBot="1">
      <c r="A971" s="941"/>
      <c r="B971" s="232">
        <v>10</v>
      </c>
      <c r="C971" s="258" t="s">
        <v>780</v>
      </c>
      <c r="D971" s="232">
        <v>36</v>
      </c>
      <c r="E971" s="232">
        <v>1986</v>
      </c>
      <c r="F971" s="274">
        <v>68.8</v>
      </c>
      <c r="G971" s="274">
        <v>3.26</v>
      </c>
      <c r="H971" s="274">
        <v>8.64</v>
      </c>
      <c r="I971" s="274">
        <v>56.9</v>
      </c>
      <c r="J971" s="741"/>
      <c r="K971" s="276">
        <f t="shared" si="132"/>
        <v>56.9</v>
      </c>
      <c r="L971" s="263">
        <v>2117</v>
      </c>
      <c r="M971" s="276">
        <f t="shared" si="133"/>
        <v>0.026877657061880018</v>
      </c>
      <c r="N971" s="267">
        <v>232.6</v>
      </c>
      <c r="O971" s="275">
        <f t="shared" si="134"/>
        <v>6.251743032593292</v>
      </c>
      <c r="P971" s="275">
        <f t="shared" si="135"/>
        <v>1612.659423712801</v>
      </c>
      <c r="Q971" s="277">
        <f t="shared" si="136"/>
        <v>375.1045819555975</v>
      </c>
      <c r="R971" s="6"/>
      <c r="S971" s="80"/>
      <c r="T971" s="80"/>
    </row>
    <row r="972" spans="1:20" ht="12.75">
      <c r="A972" s="898" t="s">
        <v>75</v>
      </c>
      <c r="B972" s="73"/>
      <c r="C972" s="259" t="s">
        <v>781</v>
      </c>
      <c r="D972" s="38">
        <v>60</v>
      </c>
      <c r="E972" s="38">
        <v>1985</v>
      </c>
      <c r="F972" s="394">
        <v>103.8</v>
      </c>
      <c r="G972" s="394">
        <v>5.1</v>
      </c>
      <c r="H972" s="394">
        <v>9.6</v>
      </c>
      <c r="I972" s="394">
        <v>89</v>
      </c>
      <c r="J972" s="804"/>
      <c r="K972" s="414">
        <f t="shared" si="132"/>
        <v>89</v>
      </c>
      <c r="L972" s="332">
        <v>3252</v>
      </c>
      <c r="M972" s="283">
        <f t="shared" si="133"/>
        <v>0.027367773677736778</v>
      </c>
      <c r="N972" s="284">
        <v>232.6</v>
      </c>
      <c r="O972" s="284">
        <f t="shared" si="134"/>
        <v>6.365744157441575</v>
      </c>
      <c r="P972" s="284">
        <f t="shared" si="135"/>
        <v>1642.0664206642066</v>
      </c>
      <c r="Q972" s="285">
        <f t="shared" si="136"/>
        <v>381.94464944649445</v>
      </c>
      <c r="R972" s="6"/>
      <c r="S972" s="80"/>
      <c r="T972" s="80"/>
    </row>
    <row r="973" spans="1:20" ht="12.75">
      <c r="A973" s="899"/>
      <c r="B973" s="40"/>
      <c r="C973" s="45" t="s">
        <v>782</v>
      </c>
      <c r="D973" s="40">
        <v>20</v>
      </c>
      <c r="E973" s="40">
        <v>1983</v>
      </c>
      <c r="F973" s="295">
        <v>40.3</v>
      </c>
      <c r="G973" s="295">
        <v>1.8</v>
      </c>
      <c r="H973" s="295">
        <v>3.2</v>
      </c>
      <c r="I973" s="295">
        <v>35.29</v>
      </c>
      <c r="J973" s="777"/>
      <c r="K973" s="289">
        <f t="shared" si="132"/>
        <v>35.29</v>
      </c>
      <c r="L973" s="297">
        <v>1037</v>
      </c>
      <c r="M973" s="289">
        <f t="shared" si="133"/>
        <v>0.03403085824493732</v>
      </c>
      <c r="N973" s="284">
        <v>232.6</v>
      </c>
      <c r="O973" s="290">
        <f t="shared" si="134"/>
        <v>7.91557762777242</v>
      </c>
      <c r="P973" s="284">
        <f t="shared" si="135"/>
        <v>2041.851494696239</v>
      </c>
      <c r="Q973" s="291">
        <f t="shared" si="136"/>
        <v>474.9346576663451</v>
      </c>
      <c r="S973" s="80"/>
      <c r="T973" s="80"/>
    </row>
    <row r="974" spans="1:20" ht="12.75">
      <c r="A974" s="899"/>
      <c r="B974" s="40"/>
      <c r="C974" s="45" t="s">
        <v>783</v>
      </c>
      <c r="D974" s="40">
        <v>20</v>
      </c>
      <c r="E974" s="40">
        <v>1983</v>
      </c>
      <c r="F974" s="295">
        <v>41.1</v>
      </c>
      <c r="G974" s="295">
        <v>1.68</v>
      </c>
      <c r="H974" s="295">
        <v>3.2</v>
      </c>
      <c r="I974" s="295">
        <v>36.28</v>
      </c>
      <c r="J974" s="777"/>
      <c r="K974" s="289">
        <f t="shared" si="132"/>
        <v>36.28</v>
      </c>
      <c r="L974" s="297">
        <v>1063</v>
      </c>
      <c r="M974" s="289">
        <f t="shared" si="133"/>
        <v>0.034129821260583254</v>
      </c>
      <c r="N974" s="284">
        <v>232.6</v>
      </c>
      <c r="O974" s="290">
        <f t="shared" si="134"/>
        <v>7.9385964252116645</v>
      </c>
      <c r="P974" s="284">
        <f t="shared" si="135"/>
        <v>2047.7892756349952</v>
      </c>
      <c r="Q974" s="291">
        <f t="shared" si="136"/>
        <v>476.31578551269985</v>
      </c>
      <c r="S974" s="80"/>
      <c r="T974" s="80"/>
    </row>
    <row r="975" spans="1:20" ht="12.75">
      <c r="A975" s="899"/>
      <c r="B975" s="40"/>
      <c r="C975" s="45" t="s">
        <v>784</v>
      </c>
      <c r="D975" s="40">
        <v>20</v>
      </c>
      <c r="E975" s="40">
        <v>1984</v>
      </c>
      <c r="F975" s="172">
        <v>40.5</v>
      </c>
      <c r="G975" s="172">
        <v>1.6</v>
      </c>
      <c r="H975" s="172">
        <v>3.2</v>
      </c>
      <c r="I975" s="172">
        <v>35.7</v>
      </c>
      <c r="J975" s="40"/>
      <c r="K975" s="214">
        <f t="shared" si="132"/>
        <v>35.7</v>
      </c>
      <c r="L975" s="297">
        <v>1045</v>
      </c>
      <c r="M975" s="214">
        <f t="shared" si="133"/>
        <v>0.034162679425837325</v>
      </c>
      <c r="N975" s="164">
        <v>232.6</v>
      </c>
      <c r="O975" s="290">
        <f t="shared" si="134"/>
        <v>7.946239234449761</v>
      </c>
      <c r="P975" s="164">
        <f t="shared" si="135"/>
        <v>2049.7607655502397</v>
      </c>
      <c r="Q975" s="291">
        <f t="shared" si="136"/>
        <v>476.7743540669858</v>
      </c>
      <c r="S975" s="80"/>
      <c r="T975" s="80"/>
    </row>
    <row r="976" spans="1:20" ht="12.75">
      <c r="A976" s="899"/>
      <c r="B976" s="40"/>
      <c r="C976" s="45" t="s">
        <v>785</v>
      </c>
      <c r="D976" s="40">
        <v>20</v>
      </c>
      <c r="E976" s="40">
        <v>1981</v>
      </c>
      <c r="F976" s="172">
        <v>40.5</v>
      </c>
      <c r="G976" s="172">
        <v>2.39</v>
      </c>
      <c r="H976" s="172">
        <v>3.2</v>
      </c>
      <c r="I976" s="172">
        <v>34.9</v>
      </c>
      <c r="J976" s="367"/>
      <c r="K976" s="214">
        <f t="shared" si="132"/>
        <v>34.9</v>
      </c>
      <c r="L976" s="297">
        <v>1020</v>
      </c>
      <c r="M976" s="214">
        <f t="shared" si="133"/>
        <v>0.034215686274509806</v>
      </c>
      <c r="N976" s="164">
        <v>232.6</v>
      </c>
      <c r="O976" s="290">
        <f t="shared" si="134"/>
        <v>7.958568627450981</v>
      </c>
      <c r="P976" s="164">
        <f t="shared" si="135"/>
        <v>2052.9411764705883</v>
      </c>
      <c r="Q976" s="291">
        <f t="shared" si="136"/>
        <v>477.5141176470588</v>
      </c>
      <c r="S976" s="80"/>
      <c r="T976" s="80"/>
    </row>
    <row r="977" spans="1:20" ht="12.75">
      <c r="A977" s="899"/>
      <c r="B977" s="40"/>
      <c r="C977" s="45" t="s">
        <v>141</v>
      </c>
      <c r="D977" s="40">
        <v>20</v>
      </c>
      <c r="E977" s="40">
        <v>1984</v>
      </c>
      <c r="F977" s="172">
        <v>40.7</v>
      </c>
      <c r="G977" s="172">
        <v>4.78</v>
      </c>
      <c r="H977" s="172">
        <v>3.2</v>
      </c>
      <c r="I977" s="172">
        <v>35.79</v>
      </c>
      <c r="J977" s="40"/>
      <c r="K977" s="214">
        <f t="shared" si="132"/>
        <v>35.79</v>
      </c>
      <c r="L977" s="297">
        <v>1039</v>
      </c>
      <c r="M977" s="214">
        <f t="shared" si="133"/>
        <v>0.03444658325312801</v>
      </c>
      <c r="N977" s="164">
        <v>232.6</v>
      </c>
      <c r="O977" s="290">
        <f t="shared" si="134"/>
        <v>8.012275264677575</v>
      </c>
      <c r="P977" s="164">
        <f t="shared" si="135"/>
        <v>2066.7949951876803</v>
      </c>
      <c r="Q977" s="291">
        <f t="shared" si="136"/>
        <v>480.73651588065445</v>
      </c>
      <c r="S977" s="80"/>
      <c r="T977" s="80"/>
    </row>
    <row r="978" spans="1:20" ht="12.75">
      <c r="A978" s="899"/>
      <c r="B978" s="40"/>
      <c r="C978" s="45" t="s">
        <v>786</v>
      </c>
      <c r="D978" s="40">
        <v>20</v>
      </c>
      <c r="E978" s="40">
        <v>1984</v>
      </c>
      <c r="F978" s="172">
        <v>41.25</v>
      </c>
      <c r="G978" s="172">
        <v>1.9</v>
      </c>
      <c r="H978" s="172">
        <v>3.2</v>
      </c>
      <c r="I978" s="172">
        <v>36.1</v>
      </c>
      <c r="J978" s="367"/>
      <c r="K978" s="214">
        <f t="shared" si="132"/>
        <v>36.1</v>
      </c>
      <c r="L978" s="297">
        <v>1037</v>
      </c>
      <c r="M978" s="214">
        <f t="shared" si="133"/>
        <v>0.03481195756991321</v>
      </c>
      <c r="N978" s="164">
        <v>232.6</v>
      </c>
      <c r="O978" s="290">
        <f t="shared" si="134"/>
        <v>8.097261330761812</v>
      </c>
      <c r="P978" s="164">
        <f t="shared" si="135"/>
        <v>2088.717454194793</v>
      </c>
      <c r="Q978" s="291">
        <f t="shared" si="136"/>
        <v>485.83567984570885</v>
      </c>
      <c r="S978" s="80"/>
      <c r="T978" s="80"/>
    </row>
    <row r="979" spans="1:20" ht="12.75">
      <c r="A979" s="899"/>
      <c r="B979" s="40"/>
      <c r="C979" s="45" t="s">
        <v>787</v>
      </c>
      <c r="D979" s="40">
        <v>20</v>
      </c>
      <c r="E979" s="40">
        <v>1984</v>
      </c>
      <c r="F979" s="172">
        <v>43.4</v>
      </c>
      <c r="G979" s="172">
        <v>1.58</v>
      </c>
      <c r="H979" s="172">
        <v>3.2</v>
      </c>
      <c r="I979" s="172">
        <v>38.6</v>
      </c>
      <c r="J979" s="367"/>
      <c r="K979" s="214">
        <f t="shared" si="132"/>
        <v>38.6</v>
      </c>
      <c r="L979" s="297">
        <v>1067</v>
      </c>
      <c r="M979" s="214">
        <f t="shared" si="133"/>
        <v>0.03617619493908154</v>
      </c>
      <c r="N979" s="164">
        <v>232.6</v>
      </c>
      <c r="O979" s="290">
        <f t="shared" si="134"/>
        <v>8.414582942830366</v>
      </c>
      <c r="P979" s="164">
        <f t="shared" si="135"/>
        <v>2170.571696344892</v>
      </c>
      <c r="Q979" s="291">
        <f t="shared" si="136"/>
        <v>504.8749765698219</v>
      </c>
      <c r="S979" s="80"/>
      <c r="T979" s="80"/>
    </row>
    <row r="980" spans="1:20" ht="12.75">
      <c r="A980" s="946"/>
      <c r="B980" s="593"/>
      <c r="C980" s="45" t="s">
        <v>788</v>
      </c>
      <c r="D980" s="40">
        <v>20</v>
      </c>
      <c r="E980" s="40">
        <v>1982</v>
      </c>
      <c r="F980" s="172">
        <v>41.8</v>
      </c>
      <c r="G980" s="172">
        <v>1.4</v>
      </c>
      <c r="H980" s="172">
        <v>3.2</v>
      </c>
      <c r="I980" s="172">
        <v>37.2</v>
      </c>
      <c r="J980" s="367"/>
      <c r="K980" s="214">
        <f t="shared" si="132"/>
        <v>37.2</v>
      </c>
      <c r="L980" s="297">
        <v>1028</v>
      </c>
      <c r="M980" s="214">
        <f t="shared" si="133"/>
        <v>0.03618677042801557</v>
      </c>
      <c r="N980" s="164">
        <v>232.6</v>
      </c>
      <c r="O980" s="290">
        <f t="shared" si="134"/>
        <v>8.417042801556422</v>
      </c>
      <c r="P980" s="164">
        <f t="shared" si="135"/>
        <v>2171.206225680934</v>
      </c>
      <c r="Q980" s="291">
        <f t="shared" si="136"/>
        <v>505.02256809338525</v>
      </c>
      <c r="S980" s="80"/>
      <c r="T980" s="80"/>
    </row>
    <row r="981" spans="1:20" ht="13.5" thickBot="1">
      <c r="A981" s="900"/>
      <c r="B981" s="42"/>
      <c r="C981" s="46" t="s">
        <v>789</v>
      </c>
      <c r="D981" s="42">
        <v>20</v>
      </c>
      <c r="E981" s="42">
        <v>1982</v>
      </c>
      <c r="F981" s="215">
        <v>43.7</v>
      </c>
      <c r="G981" s="215">
        <v>1.1</v>
      </c>
      <c r="H981" s="215">
        <v>3.2</v>
      </c>
      <c r="I981" s="215">
        <v>39.3</v>
      </c>
      <c r="J981" s="568"/>
      <c r="K981" s="217">
        <f t="shared" si="132"/>
        <v>39.3</v>
      </c>
      <c r="L981" s="333">
        <v>1052</v>
      </c>
      <c r="M981" s="217">
        <f t="shared" si="133"/>
        <v>0.0373574144486692</v>
      </c>
      <c r="N981" s="164">
        <v>232.6</v>
      </c>
      <c r="O981" s="216">
        <f t="shared" si="134"/>
        <v>8.689334600760455</v>
      </c>
      <c r="P981" s="216">
        <f t="shared" si="135"/>
        <v>2241.4448669201515</v>
      </c>
      <c r="Q981" s="288">
        <f t="shared" si="136"/>
        <v>521.3600760456272</v>
      </c>
      <c r="S981" s="80"/>
      <c r="T981" s="80"/>
    </row>
    <row r="982" spans="1:20" ht="12.75">
      <c r="A982" s="701"/>
      <c r="B982" s="702"/>
      <c r="C982" s="703"/>
      <c r="D982" s="702"/>
      <c r="E982" s="702"/>
      <c r="F982" s="704"/>
      <c r="G982" s="704"/>
      <c r="H982" s="704"/>
      <c r="I982" s="704"/>
      <c r="J982" s="705"/>
      <c r="K982" s="706"/>
      <c r="L982" s="705"/>
      <c r="M982" s="707"/>
      <c r="N982" s="704"/>
      <c r="O982" s="708"/>
      <c r="P982" s="708"/>
      <c r="Q982" s="708"/>
      <c r="S982" s="80"/>
      <c r="T982" s="80"/>
    </row>
    <row r="983" spans="19:20" ht="12.75">
      <c r="S983" s="80"/>
      <c r="T983" s="80"/>
    </row>
    <row r="984" spans="19:20" ht="12.75">
      <c r="S984" s="80"/>
      <c r="T984" s="80"/>
    </row>
    <row r="985" spans="19:20" ht="12.75">
      <c r="S985" s="80"/>
      <c r="T985" s="80"/>
    </row>
    <row r="986" spans="1:20" ht="15">
      <c r="A986" s="907" t="s">
        <v>54</v>
      </c>
      <c r="B986" s="907"/>
      <c r="C986" s="907"/>
      <c r="D986" s="907"/>
      <c r="E986" s="907"/>
      <c r="F986" s="907"/>
      <c r="G986" s="907"/>
      <c r="H986" s="907"/>
      <c r="I986" s="907"/>
      <c r="J986" s="907"/>
      <c r="K986" s="907"/>
      <c r="L986" s="907"/>
      <c r="M986" s="907"/>
      <c r="N986" s="907"/>
      <c r="O986" s="907"/>
      <c r="P986" s="907"/>
      <c r="Q986" s="907"/>
      <c r="S986" s="80"/>
      <c r="T986" s="80"/>
    </row>
    <row r="987" spans="1:20" ht="13.5" thickBot="1">
      <c r="A987" s="894" t="s">
        <v>790</v>
      </c>
      <c r="B987" s="894"/>
      <c r="C987" s="894"/>
      <c r="D987" s="894"/>
      <c r="E987" s="894"/>
      <c r="F987" s="894"/>
      <c r="G987" s="894"/>
      <c r="H987" s="894"/>
      <c r="I987" s="894"/>
      <c r="J987" s="894"/>
      <c r="K987" s="894"/>
      <c r="L987" s="894"/>
      <c r="M987" s="894"/>
      <c r="N987" s="894"/>
      <c r="O987" s="894"/>
      <c r="P987" s="894"/>
      <c r="Q987" s="894"/>
      <c r="S987" s="80"/>
      <c r="T987" s="80"/>
    </row>
    <row r="988" spans="1:20" ht="12.75" customHeight="1">
      <c r="A988" s="885" t="s">
        <v>1</v>
      </c>
      <c r="B988" s="908" t="s">
        <v>0</v>
      </c>
      <c r="C988" s="880" t="s">
        <v>2</v>
      </c>
      <c r="D988" s="880" t="s">
        <v>3</v>
      </c>
      <c r="E988" s="880" t="s">
        <v>13</v>
      </c>
      <c r="F988" s="911" t="s">
        <v>14</v>
      </c>
      <c r="G988" s="912"/>
      <c r="H988" s="912"/>
      <c r="I988" s="913"/>
      <c r="J988" s="880" t="s">
        <v>4</v>
      </c>
      <c r="K988" s="880" t="s">
        <v>15</v>
      </c>
      <c r="L988" s="880" t="s">
        <v>5</v>
      </c>
      <c r="M988" s="880" t="s">
        <v>6</v>
      </c>
      <c r="N988" s="880" t="s">
        <v>16</v>
      </c>
      <c r="O988" s="892" t="s">
        <v>17</v>
      </c>
      <c r="P988" s="880" t="s">
        <v>25</v>
      </c>
      <c r="Q988" s="890" t="s">
        <v>26</v>
      </c>
      <c r="S988" s="80"/>
      <c r="T988" s="80"/>
    </row>
    <row r="989" spans="1:20" s="2" customFormat="1" ht="33.75">
      <c r="A989" s="886"/>
      <c r="B989" s="909"/>
      <c r="C989" s="888"/>
      <c r="D989" s="881"/>
      <c r="E989" s="881"/>
      <c r="F989" s="36" t="s">
        <v>18</v>
      </c>
      <c r="G989" s="36" t="s">
        <v>19</v>
      </c>
      <c r="H989" s="36" t="s">
        <v>20</v>
      </c>
      <c r="I989" s="36" t="s">
        <v>21</v>
      </c>
      <c r="J989" s="881"/>
      <c r="K989" s="881"/>
      <c r="L989" s="881"/>
      <c r="M989" s="881"/>
      <c r="N989" s="881"/>
      <c r="O989" s="893"/>
      <c r="P989" s="881"/>
      <c r="Q989" s="891"/>
      <c r="S989" s="80"/>
      <c r="T989" s="80"/>
    </row>
    <row r="990" spans="1:20" s="3" customFormat="1" ht="13.5" customHeight="1" thickBot="1">
      <c r="A990" s="887"/>
      <c r="B990" s="910"/>
      <c r="C990" s="889"/>
      <c r="D990" s="52" t="s">
        <v>7</v>
      </c>
      <c r="E990" s="52" t="s">
        <v>8</v>
      </c>
      <c r="F990" s="52" t="s">
        <v>9</v>
      </c>
      <c r="G990" s="52" t="s">
        <v>9</v>
      </c>
      <c r="H990" s="52" t="s">
        <v>9</v>
      </c>
      <c r="I990" s="52" t="s">
        <v>9</v>
      </c>
      <c r="J990" s="52" t="s">
        <v>22</v>
      </c>
      <c r="K990" s="52" t="s">
        <v>9</v>
      </c>
      <c r="L990" s="52" t="s">
        <v>22</v>
      </c>
      <c r="M990" s="52" t="s">
        <v>23</v>
      </c>
      <c r="N990" s="52" t="s">
        <v>10</v>
      </c>
      <c r="O990" s="52" t="s">
        <v>24</v>
      </c>
      <c r="P990" s="53" t="s">
        <v>27</v>
      </c>
      <c r="Q990" s="54" t="s">
        <v>28</v>
      </c>
      <c r="S990" s="80"/>
      <c r="T990" s="80"/>
    </row>
    <row r="991" spans="1:20" ht="11.25" customHeight="1">
      <c r="A991" s="882" t="s">
        <v>29</v>
      </c>
      <c r="B991" s="33">
        <v>1</v>
      </c>
      <c r="C991" s="32" t="s">
        <v>791</v>
      </c>
      <c r="D991" s="33">
        <v>75</v>
      </c>
      <c r="E991" s="33" t="s">
        <v>113</v>
      </c>
      <c r="F991" s="359">
        <f aca="true" t="shared" si="137" ref="F991:F1020">G991+H991+I991</f>
        <v>66.798</v>
      </c>
      <c r="G991" s="247">
        <v>6.486</v>
      </c>
      <c r="H991" s="247">
        <v>11.84</v>
      </c>
      <c r="I991" s="247">
        <v>48.472</v>
      </c>
      <c r="J991" s="397">
        <v>3389.14</v>
      </c>
      <c r="K991" s="839">
        <f>I991</f>
        <v>48.472</v>
      </c>
      <c r="L991" s="586">
        <f>J991</f>
        <v>3389.14</v>
      </c>
      <c r="M991" s="405">
        <f aca="true" t="shared" si="138" ref="M991:M1020">K991/L991</f>
        <v>0.014302153348637119</v>
      </c>
      <c r="N991" s="249">
        <v>343.02</v>
      </c>
      <c r="O991" s="249">
        <f aca="true" t="shared" si="139" ref="O991:O1020">M991*N991</f>
        <v>4.905924641649504</v>
      </c>
      <c r="P991" s="249">
        <f aca="true" t="shared" si="140" ref="P991:P1020">M991*60*1000</f>
        <v>858.1292009182271</v>
      </c>
      <c r="Q991" s="406">
        <f aca="true" t="shared" si="141" ref="Q991:Q1020">P991*N991/1000</f>
        <v>294.35547849897023</v>
      </c>
      <c r="S991" s="80"/>
      <c r="T991" s="80"/>
    </row>
    <row r="992" spans="1:20" ht="12.75" customHeight="1">
      <c r="A992" s="883"/>
      <c r="B992" s="35">
        <v>2</v>
      </c>
      <c r="C992" s="34" t="s">
        <v>792</v>
      </c>
      <c r="D992" s="35">
        <v>10</v>
      </c>
      <c r="E992" s="35" t="s">
        <v>113</v>
      </c>
      <c r="F992" s="248">
        <f t="shared" si="137"/>
        <v>13.6</v>
      </c>
      <c r="G992" s="248">
        <v>0.63</v>
      </c>
      <c r="H992" s="248">
        <v>1.6</v>
      </c>
      <c r="I992" s="248">
        <v>11.37</v>
      </c>
      <c r="J992" s="110">
        <v>656.14</v>
      </c>
      <c r="K992" s="128">
        <v>10.481</v>
      </c>
      <c r="L992" s="110">
        <v>604.77</v>
      </c>
      <c r="M992" s="136">
        <f t="shared" si="138"/>
        <v>0.017330555417762124</v>
      </c>
      <c r="N992" s="137">
        <v>343.02</v>
      </c>
      <c r="O992" s="137">
        <f t="shared" si="139"/>
        <v>5.944727119400763</v>
      </c>
      <c r="P992" s="137">
        <f t="shared" si="140"/>
        <v>1039.8333250657274</v>
      </c>
      <c r="Q992" s="157">
        <f t="shared" si="141"/>
        <v>356.6836271640458</v>
      </c>
      <c r="S992" s="80"/>
      <c r="T992" s="80"/>
    </row>
    <row r="993" spans="1:20" ht="12.75" customHeight="1">
      <c r="A993" s="883"/>
      <c r="B993" s="35">
        <v>3</v>
      </c>
      <c r="C993" s="34" t="s">
        <v>793</v>
      </c>
      <c r="D993" s="35">
        <v>23</v>
      </c>
      <c r="E993" s="35">
        <v>2009</v>
      </c>
      <c r="F993" s="248">
        <f t="shared" si="137"/>
        <v>25.806</v>
      </c>
      <c r="G993" s="248">
        <v>2.404</v>
      </c>
      <c r="H993" s="248">
        <v>1.84</v>
      </c>
      <c r="I993" s="248">
        <v>21.562</v>
      </c>
      <c r="J993" s="110">
        <v>1098.31</v>
      </c>
      <c r="K993" s="128">
        <f aca="true" t="shared" si="142" ref="K993:L1000">I993</f>
        <v>21.562</v>
      </c>
      <c r="L993" s="110">
        <f t="shared" si="142"/>
        <v>1098.31</v>
      </c>
      <c r="M993" s="128">
        <f t="shared" si="138"/>
        <v>0.01963198004206463</v>
      </c>
      <c r="N993" s="137">
        <v>343.02</v>
      </c>
      <c r="O993" s="137">
        <f t="shared" si="139"/>
        <v>6.734161794029009</v>
      </c>
      <c r="P993" s="137">
        <f t="shared" si="140"/>
        <v>1177.9188025238777</v>
      </c>
      <c r="Q993" s="155">
        <f t="shared" si="141"/>
        <v>404.0497076417405</v>
      </c>
      <c r="S993" s="80"/>
      <c r="T993" s="80"/>
    </row>
    <row r="994" spans="1:20" ht="12.75" customHeight="1">
      <c r="A994" s="883"/>
      <c r="B994" s="35">
        <v>4</v>
      </c>
      <c r="C994" s="34" t="s">
        <v>794</v>
      </c>
      <c r="D994" s="35">
        <v>18</v>
      </c>
      <c r="E994" s="35">
        <v>1996</v>
      </c>
      <c r="F994" s="248">
        <f t="shared" si="137"/>
        <v>25.97</v>
      </c>
      <c r="G994" s="248">
        <v>0</v>
      </c>
      <c r="H994" s="248">
        <v>0</v>
      </c>
      <c r="I994" s="248">
        <v>25.97</v>
      </c>
      <c r="J994" s="110">
        <v>1321.61</v>
      </c>
      <c r="K994" s="128">
        <f t="shared" si="142"/>
        <v>25.97</v>
      </c>
      <c r="L994" s="110">
        <f t="shared" si="142"/>
        <v>1321.61</v>
      </c>
      <c r="M994" s="128">
        <f t="shared" si="138"/>
        <v>0.01965027504331838</v>
      </c>
      <c r="N994" s="137">
        <v>343.02</v>
      </c>
      <c r="O994" s="127">
        <f t="shared" si="139"/>
        <v>6.74043734535907</v>
      </c>
      <c r="P994" s="137">
        <f t="shared" si="140"/>
        <v>1179.0165025991025</v>
      </c>
      <c r="Q994" s="155">
        <f t="shared" si="141"/>
        <v>404.42624072154416</v>
      </c>
      <c r="S994" s="80"/>
      <c r="T994" s="80"/>
    </row>
    <row r="995" spans="1:20" ht="12.75" customHeight="1">
      <c r="A995" s="883"/>
      <c r="B995" s="35">
        <v>5</v>
      </c>
      <c r="C995" s="34" t="s">
        <v>795</v>
      </c>
      <c r="D995" s="35">
        <v>8</v>
      </c>
      <c r="E995" s="35" t="s">
        <v>113</v>
      </c>
      <c r="F995" s="248">
        <f t="shared" si="137"/>
        <v>13.959999999999999</v>
      </c>
      <c r="G995" s="248">
        <v>0.486</v>
      </c>
      <c r="H995" s="248">
        <v>0.64</v>
      </c>
      <c r="I995" s="248">
        <v>12.834</v>
      </c>
      <c r="J995" s="110">
        <v>633.84</v>
      </c>
      <c r="K995" s="128">
        <f t="shared" si="142"/>
        <v>12.834</v>
      </c>
      <c r="L995" s="110">
        <f t="shared" si="142"/>
        <v>633.84</v>
      </c>
      <c r="M995" s="128">
        <f t="shared" si="138"/>
        <v>0.02024801211662249</v>
      </c>
      <c r="N995" s="137">
        <v>343.02</v>
      </c>
      <c r="O995" s="127">
        <f t="shared" si="139"/>
        <v>6.9454731162438454</v>
      </c>
      <c r="P995" s="137">
        <f t="shared" si="140"/>
        <v>1214.8807269973495</v>
      </c>
      <c r="Q995" s="155">
        <f t="shared" si="141"/>
        <v>416.72838697463084</v>
      </c>
      <c r="S995" s="80"/>
      <c r="T995" s="80"/>
    </row>
    <row r="996" spans="1:20" s="88" customFormat="1" ht="12.75" customHeight="1">
      <c r="A996" s="883"/>
      <c r="B996" s="95">
        <v>6</v>
      </c>
      <c r="C996" s="34" t="s">
        <v>796</v>
      </c>
      <c r="D996" s="35">
        <v>50</v>
      </c>
      <c r="E996" s="35" t="s">
        <v>113</v>
      </c>
      <c r="F996" s="248">
        <f t="shared" si="137"/>
        <v>53.67999999999999</v>
      </c>
      <c r="G996" s="248">
        <v>2.505</v>
      </c>
      <c r="H996" s="248">
        <v>8</v>
      </c>
      <c r="I996" s="248">
        <v>43.175</v>
      </c>
      <c r="J996" s="110">
        <v>1886.21</v>
      </c>
      <c r="K996" s="128">
        <f t="shared" si="142"/>
        <v>43.175</v>
      </c>
      <c r="L996" s="110">
        <f t="shared" si="142"/>
        <v>1886.21</v>
      </c>
      <c r="M996" s="128">
        <f t="shared" si="138"/>
        <v>0.022889816086225815</v>
      </c>
      <c r="N996" s="137">
        <v>343.02</v>
      </c>
      <c r="O996" s="127">
        <f t="shared" si="139"/>
        <v>7.851664713897178</v>
      </c>
      <c r="P996" s="137">
        <f t="shared" si="140"/>
        <v>1373.388965173549</v>
      </c>
      <c r="Q996" s="155">
        <f t="shared" si="141"/>
        <v>471.09988283383075</v>
      </c>
      <c r="S996" s="89"/>
      <c r="T996" s="89"/>
    </row>
    <row r="997" spans="1:20" ht="12.75" customHeight="1">
      <c r="A997" s="883"/>
      <c r="B997" s="35">
        <v>7</v>
      </c>
      <c r="C997" s="34" t="s">
        <v>797</v>
      </c>
      <c r="D997" s="35">
        <v>30</v>
      </c>
      <c r="E997" s="35" t="s">
        <v>113</v>
      </c>
      <c r="F997" s="248">
        <f t="shared" si="137"/>
        <v>45.4</v>
      </c>
      <c r="G997" s="248">
        <v>3.701</v>
      </c>
      <c r="H997" s="248">
        <v>4.64</v>
      </c>
      <c r="I997" s="248">
        <v>37.059</v>
      </c>
      <c r="J997" s="110">
        <v>1612.1</v>
      </c>
      <c r="K997" s="128">
        <f t="shared" si="142"/>
        <v>37.059</v>
      </c>
      <c r="L997" s="110">
        <f t="shared" si="142"/>
        <v>1612.1</v>
      </c>
      <c r="M997" s="128">
        <f t="shared" si="138"/>
        <v>0.022988028037962904</v>
      </c>
      <c r="N997" s="137">
        <v>343.02</v>
      </c>
      <c r="O997" s="127">
        <f t="shared" si="139"/>
        <v>7.885353377582035</v>
      </c>
      <c r="P997" s="137">
        <f t="shared" si="140"/>
        <v>1379.2816822777743</v>
      </c>
      <c r="Q997" s="155">
        <f t="shared" si="141"/>
        <v>473.1212026549221</v>
      </c>
      <c r="S997" s="80"/>
      <c r="T997" s="80"/>
    </row>
    <row r="998" spans="1:20" ht="12.75" customHeight="1">
      <c r="A998" s="883"/>
      <c r="B998" s="35">
        <v>8</v>
      </c>
      <c r="C998" s="34" t="s">
        <v>798</v>
      </c>
      <c r="D998" s="35">
        <v>8</v>
      </c>
      <c r="E998" s="35" t="s">
        <v>113</v>
      </c>
      <c r="F998" s="248">
        <f t="shared" si="137"/>
        <v>11.506</v>
      </c>
      <c r="G998" s="248">
        <v>0</v>
      </c>
      <c r="H998" s="248">
        <v>0</v>
      </c>
      <c r="I998" s="248">
        <v>11.506</v>
      </c>
      <c r="J998" s="110">
        <v>495.82</v>
      </c>
      <c r="K998" s="128">
        <f t="shared" si="142"/>
        <v>11.506</v>
      </c>
      <c r="L998" s="110">
        <f t="shared" si="142"/>
        <v>495.82</v>
      </c>
      <c r="M998" s="128">
        <f t="shared" si="138"/>
        <v>0.023206002178209836</v>
      </c>
      <c r="N998" s="137">
        <v>343.02</v>
      </c>
      <c r="O998" s="127">
        <f t="shared" si="139"/>
        <v>7.960122867169537</v>
      </c>
      <c r="P998" s="137">
        <f t="shared" si="140"/>
        <v>1392.36013069259</v>
      </c>
      <c r="Q998" s="155">
        <f t="shared" si="141"/>
        <v>477.6073720301722</v>
      </c>
      <c r="S998" s="80"/>
      <c r="T998" s="80"/>
    </row>
    <row r="999" spans="1:20" ht="13.5" customHeight="1">
      <c r="A999" s="883"/>
      <c r="B999" s="35">
        <v>9</v>
      </c>
      <c r="C999" s="34" t="s">
        <v>799</v>
      </c>
      <c r="D999" s="35">
        <v>20</v>
      </c>
      <c r="E999" s="35" t="s">
        <v>113</v>
      </c>
      <c r="F999" s="248">
        <f t="shared" si="137"/>
        <v>32.411</v>
      </c>
      <c r="G999" s="248">
        <v>2.296</v>
      </c>
      <c r="H999" s="248">
        <v>3.2</v>
      </c>
      <c r="I999" s="248">
        <v>26.915</v>
      </c>
      <c r="J999" s="110">
        <v>1143.7</v>
      </c>
      <c r="K999" s="128">
        <f t="shared" si="142"/>
        <v>26.915</v>
      </c>
      <c r="L999" s="110">
        <f t="shared" si="142"/>
        <v>1143.7</v>
      </c>
      <c r="M999" s="128">
        <f t="shared" si="138"/>
        <v>0.023533269213954707</v>
      </c>
      <c r="N999" s="137">
        <v>343.02</v>
      </c>
      <c r="O999" s="127">
        <f t="shared" si="139"/>
        <v>8.072382005770743</v>
      </c>
      <c r="P999" s="137">
        <f t="shared" si="140"/>
        <v>1411.9961528372824</v>
      </c>
      <c r="Q999" s="155">
        <f t="shared" si="141"/>
        <v>484.34292034624457</v>
      </c>
      <c r="S999" s="80"/>
      <c r="T999" s="80"/>
    </row>
    <row r="1000" spans="1:20" s="88" customFormat="1" ht="12.75" customHeight="1" thickBot="1">
      <c r="A1000" s="884"/>
      <c r="B1000" s="112"/>
      <c r="C1000" s="76" t="s">
        <v>800</v>
      </c>
      <c r="D1000" s="37">
        <v>40</v>
      </c>
      <c r="E1000" s="37" t="s">
        <v>113</v>
      </c>
      <c r="F1000" s="356">
        <f t="shared" si="137"/>
        <v>59.187</v>
      </c>
      <c r="G1000" s="250">
        <v>1.189</v>
      </c>
      <c r="H1000" s="250">
        <v>6.4</v>
      </c>
      <c r="I1000" s="250">
        <v>51.598</v>
      </c>
      <c r="J1000" s="171">
        <v>2185.81</v>
      </c>
      <c r="K1000" s="355">
        <f t="shared" si="142"/>
        <v>51.598</v>
      </c>
      <c r="L1000" s="354">
        <f t="shared" si="142"/>
        <v>2185.81</v>
      </c>
      <c r="M1000" s="205">
        <f t="shared" si="138"/>
        <v>0.02360589438240286</v>
      </c>
      <c r="N1000" s="353">
        <v>343.02</v>
      </c>
      <c r="O1000" s="158">
        <f t="shared" si="139"/>
        <v>8.097293891051828</v>
      </c>
      <c r="P1000" s="158">
        <f t="shared" si="140"/>
        <v>1416.3536629441717</v>
      </c>
      <c r="Q1000" s="159">
        <f t="shared" si="141"/>
        <v>485.83763346310974</v>
      </c>
      <c r="S1000" s="89"/>
      <c r="T1000" s="89"/>
    </row>
    <row r="1001" spans="1:20" ht="12.75">
      <c r="A1001" s="1003" t="s">
        <v>30</v>
      </c>
      <c r="B1001" s="218">
        <v>1</v>
      </c>
      <c r="C1001" s="280" t="s">
        <v>801</v>
      </c>
      <c r="D1001" s="262">
        <v>40</v>
      </c>
      <c r="E1001" s="262" t="s">
        <v>113</v>
      </c>
      <c r="F1001" s="325">
        <f t="shared" si="137"/>
        <v>65.229</v>
      </c>
      <c r="G1001" s="325">
        <v>2.674</v>
      </c>
      <c r="H1001" s="325">
        <v>6.4</v>
      </c>
      <c r="I1001" s="325">
        <v>56.155</v>
      </c>
      <c r="J1001" s="331">
        <v>1935.84</v>
      </c>
      <c r="K1001" s="268">
        <v>54.303</v>
      </c>
      <c r="L1001" s="331">
        <v>1871.86</v>
      </c>
      <c r="M1001" s="268">
        <f t="shared" si="138"/>
        <v>0.029010182385434808</v>
      </c>
      <c r="N1001" s="267">
        <v>343.02</v>
      </c>
      <c r="O1001" s="267">
        <f t="shared" si="139"/>
        <v>9.951072761851847</v>
      </c>
      <c r="P1001" s="267">
        <f t="shared" si="140"/>
        <v>1740.6109431260886</v>
      </c>
      <c r="Q1001" s="269">
        <f t="shared" si="141"/>
        <v>597.0643657111109</v>
      </c>
      <c r="S1001" s="80"/>
      <c r="T1001" s="80"/>
    </row>
    <row r="1002" spans="1:20" ht="12.75">
      <c r="A1002" s="939"/>
      <c r="B1002" s="219">
        <v>2</v>
      </c>
      <c r="C1002" s="256" t="s">
        <v>802</v>
      </c>
      <c r="D1002" s="219">
        <v>22</v>
      </c>
      <c r="E1002" s="219" t="s">
        <v>113</v>
      </c>
      <c r="F1002" s="270">
        <f t="shared" si="137"/>
        <v>40.28</v>
      </c>
      <c r="G1002" s="270">
        <v>1.66</v>
      </c>
      <c r="H1002" s="270">
        <v>3.52</v>
      </c>
      <c r="I1002" s="270">
        <v>35.1</v>
      </c>
      <c r="J1002" s="261">
        <v>1205.61</v>
      </c>
      <c r="K1002" s="272">
        <f aca="true" t="shared" si="143" ref="K1002:L1007">I1002</f>
        <v>35.1</v>
      </c>
      <c r="L1002" s="261">
        <f t="shared" si="143"/>
        <v>1205.61</v>
      </c>
      <c r="M1002" s="272">
        <f t="shared" si="138"/>
        <v>0.029113892552317916</v>
      </c>
      <c r="N1002" s="267">
        <v>343.02</v>
      </c>
      <c r="O1002" s="271">
        <f t="shared" si="139"/>
        <v>9.986647423296091</v>
      </c>
      <c r="P1002" s="267">
        <f t="shared" si="140"/>
        <v>1746.833553139075</v>
      </c>
      <c r="Q1002" s="273">
        <f t="shared" si="141"/>
        <v>599.1988453977655</v>
      </c>
      <c r="S1002" s="80"/>
      <c r="T1002" s="80"/>
    </row>
    <row r="1003" spans="1:20" ht="12.75">
      <c r="A1003" s="939"/>
      <c r="B1003" s="219">
        <v>3</v>
      </c>
      <c r="C1003" s="256" t="s">
        <v>803</v>
      </c>
      <c r="D1003" s="219">
        <v>45</v>
      </c>
      <c r="E1003" s="219" t="s">
        <v>113</v>
      </c>
      <c r="F1003" s="270">
        <f t="shared" si="137"/>
        <v>52.947</v>
      </c>
      <c r="G1003" s="270">
        <v>0</v>
      </c>
      <c r="H1003" s="270">
        <v>0</v>
      </c>
      <c r="I1003" s="270">
        <v>52.947</v>
      </c>
      <c r="J1003" s="261">
        <v>1802.36</v>
      </c>
      <c r="K1003" s="272">
        <f t="shared" si="143"/>
        <v>52.947</v>
      </c>
      <c r="L1003" s="261">
        <f t="shared" si="143"/>
        <v>1802.36</v>
      </c>
      <c r="M1003" s="272">
        <f t="shared" si="138"/>
        <v>0.02937648416520562</v>
      </c>
      <c r="N1003" s="267">
        <v>343.02</v>
      </c>
      <c r="O1003" s="271">
        <f t="shared" si="139"/>
        <v>10.076721598348831</v>
      </c>
      <c r="P1003" s="267">
        <f t="shared" si="140"/>
        <v>1762.5890499123373</v>
      </c>
      <c r="Q1003" s="273">
        <f t="shared" si="141"/>
        <v>604.60329590093</v>
      </c>
      <c r="S1003" s="80"/>
      <c r="T1003" s="80"/>
    </row>
    <row r="1004" spans="1:20" s="88" customFormat="1" ht="12.75">
      <c r="A1004" s="939"/>
      <c r="B1004" s="260">
        <v>4</v>
      </c>
      <c r="C1004" s="256" t="s">
        <v>804</v>
      </c>
      <c r="D1004" s="219">
        <v>22</v>
      </c>
      <c r="E1004" s="219" t="s">
        <v>113</v>
      </c>
      <c r="F1004" s="270">
        <f t="shared" si="137"/>
        <v>40.385000000000005</v>
      </c>
      <c r="G1004" s="270">
        <v>2.881</v>
      </c>
      <c r="H1004" s="270">
        <v>3.52</v>
      </c>
      <c r="I1004" s="270">
        <v>33.984</v>
      </c>
      <c r="J1004" s="261">
        <v>1153.59</v>
      </c>
      <c r="K1004" s="272">
        <f t="shared" si="143"/>
        <v>33.984</v>
      </c>
      <c r="L1004" s="261">
        <f t="shared" si="143"/>
        <v>1153.59</v>
      </c>
      <c r="M1004" s="272">
        <f t="shared" si="138"/>
        <v>0.029459339973474115</v>
      </c>
      <c r="N1004" s="267">
        <v>343.02</v>
      </c>
      <c r="O1004" s="271">
        <f t="shared" si="139"/>
        <v>10.10514279770109</v>
      </c>
      <c r="P1004" s="267">
        <f t="shared" si="140"/>
        <v>1767.5603984084469</v>
      </c>
      <c r="Q1004" s="273">
        <f t="shared" si="141"/>
        <v>606.3085678620654</v>
      </c>
      <c r="S1004" s="89"/>
      <c r="T1004" s="89"/>
    </row>
    <row r="1005" spans="1:20" ht="12.75">
      <c r="A1005" s="939"/>
      <c r="B1005" s="219">
        <v>5</v>
      </c>
      <c r="C1005" s="256" t="s">
        <v>805</v>
      </c>
      <c r="D1005" s="219">
        <v>18</v>
      </c>
      <c r="E1005" s="219" t="s">
        <v>113</v>
      </c>
      <c r="F1005" s="270">
        <f t="shared" si="137"/>
        <v>33</v>
      </c>
      <c r="G1005" s="270">
        <v>1.779</v>
      </c>
      <c r="H1005" s="270">
        <v>2.88</v>
      </c>
      <c r="I1005" s="270">
        <v>28.341</v>
      </c>
      <c r="J1005" s="261">
        <v>955.53</v>
      </c>
      <c r="K1005" s="272">
        <f t="shared" si="143"/>
        <v>28.341</v>
      </c>
      <c r="L1005" s="261">
        <f t="shared" si="143"/>
        <v>955.53</v>
      </c>
      <c r="M1005" s="272">
        <f t="shared" si="138"/>
        <v>0.02965997927851559</v>
      </c>
      <c r="N1005" s="267">
        <v>343.02</v>
      </c>
      <c r="O1005" s="271">
        <f t="shared" si="139"/>
        <v>10.173966092116416</v>
      </c>
      <c r="P1005" s="267">
        <f t="shared" si="140"/>
        <v>1779.5987567109353</v>
      </c>
      <c r="Q1005" s="273">
        <f t="shared" si="141"/>
        <v>610.437965526985</v>
      </c>
      <c r="S1005" s="80"/>
      <c r="T1005" s="80"/>
    </row>
    <row r="1006" spans="1:20" ht="12.75">
      <c r="A1006" s="939"/>
      <c r="B1006" s="219">
        <v>6</v>
      </c>
      <c r="C1006" s="256" t="s">
        <v>806</v>
      </c>
      <c r="D1006" s="219">
        <v>22</v>
      </c>
      <c r="E1006" s="219" t="s">
        <v>113</v>
      </c>
      <c r="F1006" s="270">
        <f t="shared" si="137"/>
        <v>40.707</v>
      </c>
      <c r="G1006" s="270">
        <v>1.891</v>
      </c>
      <c r="H1006" s="270">
        <v>3.52</v>
      </c>
      <c r="I1006" s="270">
        <v>35.296</v>
      </c>
      <c r="J1006" s="261">
        <v>1183.74</v>
      </c>
      <c r="K1006" s="272">
        <f t="shared" si="143"/>
        <v>35.296</v>
      </c>
      <c r="L1006" s="261">
        <f t="shared" si="143"/>
        <v>1183.74</v>
      </c>
      <c r="M1006" s="272">
        <f t="shared" si="138"/>
        <v>0.029817358541571626</v>
      </c>
      <c r="N1006" s="267">
        <v>343.02</v>
      </c>
      <c r="O1006" s="271">
        <f t="shared" si="139"/>
        <v>10.227950326929898</v>
      </c>
      <c r="P1006" s="267">
        <f t="shared" si="140"/>
        <v>1789.0415124942976</v>
      </c>
      <c r="Q1006" s="273">
        <f t="shared" si="141"/>
        <v>613.6770196157939</v>
      </c>
      <c r="S1006" s="80"/>
      <c r="T1006" s="80"/>
    </row>
    <row r="1007" spans="1:20" ht="12.75">
      <c r="A1007" s="939"/>
      <c r="B1007" s="219">
        <v>7</v>
      </c>
      <c r="C1007" s="281" t="s">
        <v>807</v>
      </c>
      <c r="D1007" s="219">
        <v>12</v>
      </c>
      <c r="E1007" s="219" t="s">
        <v>113</v>
      </c>
      <c r="F1007" s="270">
        <f t="shared" si="137"/>
        <v>23.105999999999998</v>
      </c>
      <c r="G1007" s="270">
        <v>0.108</v>
      </c>
      <c r="H1007" s="270">
        <v>1.92</v>
      </c>
      <c r="I1007" s="270">
        <v>21.078</v>
      </c>
      <c r="J1007" s="261">
        <v>695.88</v>
      </c>
      <c r="K1007" s="272">
        <f t="shared" si="143"/>
        <v>21.078</v>
      </c>
      <c r="L1007" s="261">
        <f t="shared" si="143"/>
        <v>695.88</v>
      </c>
      <c r="M1007" s="272">
        <f t="shared" si="138"/>
        <v>0.030289705121572683</v>
      </c>
      <c r="N1007" s="267">
        <v>343.02</v>
      </c>
      <c r="O1007" s="271">
        <f t="shared" si="139"/>
        <v>10.389974650801861</v>
      </c>
      <c r="P1007" s="267">
        <f t="shared" si="140"/>
        <v>1817.382307294361</v>
      </c>
      <c r="Q1007" s="273">
        <f t="shared" si="141"/>
        <v>623.3984790481117</v>
      </c>
      <c r="S1007" s="80"/>
      <c r="T1007" s="80"/>
    </row>
    <row r="1008" spans="1:20" s="88" customFormat="1" ht="12.75">
      <c r="A1008" s="939"/>
      <c r="B1008" s="260">
        <v>8</v>
      </c>
      <c r="C1008" s="256" t="s">
        <v>808</v>
      </c>
      <c r="D1008" s="219">
        <v>24</v>
      </c>
      <c r="E1008" s="219" t="s">
        <v>113</v>
      </c>
      <c r="F1008" s="270">
        <f t="shared" si="137"/>
        <v>36.33</v>
      </c>
      <c r="G1008" s="270">
        <v>1.135</v>
      </c>
      <c r="H1008" s="270">
        <v>3.76</v>
      </c>
      <c r="I1008" s="270">
        <v>31.435</v>
      </c>
      <c r="J1008" s="261">
        <v>1029.2</v>
      </c>
      <c r="K1008" s="272">
        <v>26.439</v>
      </c>
      <c r="L1008" s="261">
        <v>865.72</v>
      </c>
      <c r="M1008" s="272">
        <f t="shared" si="138"/>
        <v>0.030539897426419625</v>
      </c>
      <c r="N1008" s="267">
        <v>343.02</v>
      </c>
      <c r="O1008" s="271">
        <f t="shared" si="139"/>
        <v>10.47579561521046</v>
      </c>
      <c r="P1008" s="267">
        <f t="shared" si="140"/>
        <v>1832.3938455851776</v>
      </c>
      <c r="Q1008" s="273">
        <f t="shared" si="141"/>
        <v>628.5477369126276</v>
      </c>
      <c r="S1008" s="89"/>
      <c r="T1008" s="89"/>
    </row>
    <row r="1009" spans="1:20" ht="12.75">
      <c r="A1009" s="940"/>
      <c r="B1009" s="231">
        <v>9</v>
      </c>
      <c r="C1009" s="256" t="s">
        <v>809</v>
      </c>
      <c r="D1009" s="219">
        <v>20</v>
      </c>
      <c r="E1009" s="219" t="s">
        <v>113</v>
      </c>
      <c r="F1009" s="270">
        <f t="shared" si="137"/>
        <v>36.504</v>
      </c>
      <c r="G1009" s="270">
        <v>2.062</v>
      </c>
      <c r="H1009" s="270">
        <v>3.12</v>
      </c>
      <c r="I1009" s="270">
        <v>31.322</v>
      </c>
      <c r="J1009" s="261">
        <v>1014.75</v>
      </c>
      <c r="K1009" s="272">
        <f aca="true" t="shared" si="144" ref="K1009:L1011">I1009</f>
        <v>31.322</v>
      </c>
      <c r="L1009" s="261">
        <f t="shared" si="144"/>
        <v>1014.75</v>
      </c>
      <c r="M1009" s="272">
        <f t="shared" si="138"/>
        <v>0.03086671593988667</v>
      </c>
      <c r="N1009" s="267">
        <v>343.02</v>
      </c>
      <c r="O1009" s="271">
        <f t="shared" si="139"/>
        <v>10.587900901699925</v>
      </c>
      <c r="P1009" s="267">
        <f t="shared" si="140"/>
        <v>1852.0029563932003</v>
      </c>
      <c r="Q1009" s="273">
        <f t="shared" si="141"/>
        <v>635.2740541019955</v>
      </c>
      <c r="S1009" s="80"/>
      <c r="T1009" s="80"/>
    </row>
    <row r="1010" spans="1:20" ht="13.5" thickBot="1">
      <c r="A1010" s="941"/>
      <c r="B1010" s="232">
        <v>10</v>
      </c>
      <c r="C1010" s="281" t="s">
        <v>803</v>
      </c>
      <c r="D1010" s="231">
        <v>36</v>
      </c>
      <c r="E1010" s="231" t="s">
        <v>113</v>
      </c>
      <c r="F1010" s="393">
        <f t="shared" si="137"/>
        <v>46.728</v>
      </c>
      <c r="G1010" s="393">
        <v>0</v>
      </c>
      <c r="H1010" s="393">
        <v>0</v>
      </c>
      <c r="I1010" s="393">
        <v>46.728</v>
      </c>
      <c r="J1010" s="400">
        <v>1512.85</v>
      </c>
      <c r="K1010" s="411">
        <f t="shared" si="144"/>
        <v>46.728</v>
      </c>
      <c r="L1010" s="400">
        <f t="shared" si="144"/>
        <v>1512.85</v>
      </c>
      <c r="M1010" s="411">
        <f t="shared" si="138"/>
        <v>0.030887397957497443</v>
      </c>
      <c r="N1010" s="1069">
        <v>343.02</v>
      </c>
      <c r="O1010" s="412">
        <f t="shared" si="139"/>
        <v>10.594995247380773</v>
      </c>
      <c r="P1010" s="412">
        <f t="shared" si="140"/>
        <v>1853.2438774498464</v>
      </c>
      <c r="Q1010" s="413">
        <f t="shared" si="141"/>
        <v>635.6997148428462</v>
      </c>
      <c r="S1010" s="80"/>
      <c r="T1010" s="80"/>
    </row>
    <row r="1011" spans="1:20" ht="12.75">
      <c r="A1011" s="901" t="s">
        <v>12</v>
      </c>
      <c r="B1011" s="38">
        <v>1</v>
      </c>
      <c r="C1011" s="225" t="s">
        <v>810</v>
      </c>
      <c r="D1011" s="38">
        <v>20</v>
      </c>
      <c r="E1011" s="38" t="s">
        <v>113</v>
      </c>
      <c r="F1011" s="422">
        <f t="shared" si="137"/>
        <v>42.479</v>
      </c>
      <c r="G1011" s="394">
        <v>1.891</v>
      </c>
      <c r="H1011" s="394">
        <v>3.2</v>
      </c>
      <c r="I1011" s="394">
        <v>37.388</v>
      </c>
      <c r="J1011" s="334">
        <v>1049.01</v>
      </c>
      <c r="K1011" s="414">
        <f t="shared" si="144"/>
        <v>37.388</v>
      </c>
      <c r="L1011" s="334">
        <f t="shared" si="144"/>
        <v>1049.01</v>
      </c>
      <c r="M1011" s="414">
        <f t="shared" si="138"/>
        <v>0.03564122362989867</v>
      </c>
      <c r="N1011" s="596">
        <v>343.02</v>
      </c>
      <c r="O1011" s="415">
        <f t="shared" si="139"/>
        <v>12.22565252952784</v>
      </c>
      <c r="P1011" s="415">
        <f t="shared" si="140"/>
        <v>2138.4734177939204</v>
      </c>
      <c r="Q1011" s="416">
        <f t="shared" si="141"/>
        <v>733.5391517716705</v>
      </c>
      <c r="S1011" s="80"/>
      <c r="T1011" s="80"/>
    </row>
    <row r="1012" spans="1:20" ht="12.75">
      <c r="A1012" s="902"/>
      <c r="B1012" s="40">
        <v>2</v>
      </c>
      <c r="C1012" s="45" t="s">
        <v>811</v>
      </c>
      <c r="D1012" s="40">
        <v>12</v>
      </c>
      <c r="E1012" s="40" t="s">
        <v>113</v>
      </c>
      <c r="F1012" s="172">
        <f t="shared" si="137"/>
        <v>20.742</v>
      </c>
      <c r="G1012" s="172">
        <v>0.621</v>
      </c>
      <c r="H1012" s="172">
        <v>1.76</v>
      </c>
      <c r="I1012" s="172">
        <v>18.361</v>
      </c>
      <c r="J1012" s="297">
        <v>555.41</v>
      </c>
      <c r="K1012" s="214">
        <v>18.053</v>
      </c>
      <c r="L1012" s="297">
        <v>503.56</v>
      </c>
      <c r="M1012" s="214">
        <f t="shared" si="138"/>
        <v>0.035850742711891335</v>
      </c>
      <c r="N1012" s="40">
        <v>343.02</v>
      </c>
      <c r="O1012" s="290">
        <f t="shared" si="139"/>
        <v>12.297521765032965</v>
      </c>
      <c r="P1012" s="164">
        <f t="shared" si="140"/>
        <v>2151.04456271348</v>
      </c>
      <c r="Q1012" s="291">
        <f t="shared" si="141"/>
        <v>737.8513059019779</v>
      </c>
      <c r="S1012" s="80"/>
      <c r="T1012" s="80"/>
    </row>
    <row r="1013" spans="1:20" ht="12.75">
      <c r="A1013" s="902"/>
      <c r="B1013" s="40">
        <v>3</v>
      </c>
      <c r="C1013" s="45" t="s">
        <v>812</v>
      </c>
      <c r="D1013" s="40">
        <v>8</v>
      </c>
      <c r="E1013" s="40" t="s">
        <v>113</v>
      </c>
      <c r="F1013" s="172">
        <f t="shared" si="137"/>
        <v>15</v>
      </c>
      <c r="G1013" s="172">
        <v>0.702</v>
      </c>
      <c r="H1013" s="172">
        <v>1.2</v>
      </c>
      <c r="I1013" s="172">
        <v>13.098</v>
      </c>
      <c r="J1013" s="297">
        <v>362.86</v>
      </c>
      <c r="K1013" s="214">
        <v>11.367</v>
      </c>
      <c r="L1013" s="297">
        <v>314.87</v>
      </c>
      <c r="M1013" s="214">
        <f t="shared" si="138"/>
        <v>0.03610061295137676</v>
      </c>
      <c r="N1013" s="40">
        <v>343.02</v>
      </c>
      <c r="O1013" s="290">
        <f t="shared" si="139"/>
        <v>12.383232254581255</v>
      </c>
      <c r="P1013" s="164">
        <f t="shared" si="140"/>
        <v>2166.0367770826056</v>
      </c>
      <c r="Q1013" s="291">
        <f t="shared" si="141"/>
        <v>742.9939352748754</v>
      </c>
      <c r="S1013" s="80"/>
      <c r="T1013" s="80"/>
    </row>
    <row r="1014" spans="1:20" ht="12.75">
      <c r="A1014" s="902"/>
      <c r="B1014" s="40">
        <v>4</v>
      </c>
      <c r="C1014" s="45" t="s">
        <v>813</v>
      </c>
      <c r="D1014" s="40">
        <v>24</v>
      </c>
      <c r="E1014" s="40" t="s">
        <v>113</v>
      </c>
      <c r="F1014" s="172">
        <f t="shared" si="137"/>
        <v>43.47</v>
      </c>
      <c r="G1014" s="172">
        <v>1.783</v>
      </c>
      <c r="H1014" s="172">
        <v>0.24</v>
      </c>
      <c r="I1014" s="172">
        <v>41.447</v>
      </c>
      <c r="J1014" s="297">
        <v>1026.08</v>
      </c>
      <c r="K1014" s="214">
        <f>I1014</f>
        <v>41.447</v>
      </c>
      <c r="L1014" s="297">
        <f>J1014</f>
        <v>1026.08</v>
      </c>
      <c r="M1014" s="214">
        <f t="shared" si="138"/>
        <v>0.04039353656634961</v>
      </c>
      <c r="N1014" s="40">
        <v>343.02</v>
      </c>
      <c r="O1014" s="290">
        <f t="shared" si="139"/>
        <v>13.855790912989242</v>
      </c>
      <c r="P1014" s="164">
        <f t="shared" si="140"/>
        <v>2423.6121939809764</v>
      </c>
      <c r="Q1014" s="291">
        <f t="shared" si="141"/>
        <v>831.3474547793545</v>
      </c>
      <c r="S1014" s="80"/>
      <c r="T1014" s="80"/>
    </row>
    <row r="1015" spans="1:20" ht="12.75">
      <c r="A1015" s="902"/>
      <c r="B1015" s="40">
        <v>5</v>
      </c>
      <c r="C1015" s="45" t="s">
        <v>814</v>
      </c>
      <c r="D1015" s="40">
        <v>8</v>
      </c>
      <c r="E1015" s="40" t="s">
        <v>113</v>
      </c>
      <c r="F1015" s="172">
        <f t="shared" si="137"/>
        <v>16.603</v>
      </c>
      <c r="G1015" s="172">
        <v>0.47</v>
      </c>
      <c r="H1015" s="172">
        <v>1.28</v>
      </c>
      <c r="I1015" s="172">
        <v>14.853</v>
      </c>
      <c r="J1015" s="297">
        <v>354.78</v>
      </c>
      <c r="K1015" s="214">
        <f>I1015</f>
        <v>14.853</v>
      </c>
      <c r="L1015" s="297">
        <f>J1015</f>
        <v>354.78</v>
      </c>
      <c r="M1015" s="214">
        <f t="shared" si="138"/>
        <v>0.04186538136309826</v>
      </c>
      <c r="N1015" s="40">
        <v>343.02</v>
      </c>
      <c r="O1015" s="290">
        <f t="shared" si="139"/>
        <v>14.360663115169965</v>
      </c>
      <c r="P1015" s="164">
        <f t="shared" si="140"/>
        <v>2511.9228817858957</v>
      </c>
      <c r="Q1015" s="291">
        <f t="shared" si="141"/>
        <v>861.6397869101979</v>
      </c>
      <c r="S1015" s="80"/>
      <c r="T1015" s="80"/>
    </row>
    <row r="1016" spans="1:20" ht="12.75">
      <c r="A1016" s="902"/>
      <c r="B1016" s="40">
        <v>6</v>
      </c>
      <c r="C1016" s="45" t="s">
        <v>815</v>
      </c>
      <c r="D1016" s="40">
        <v>9</v>
      </c>
      <c r="E1016" s="40" t="s">
        <v>113</v>
      </c>
      <c r="F1016" s="172">
        <f t="shared" si="137"/>
        <v>19.674</v>
      </c>
      <c r="G1016" s="172">
        <v>0.756</v>
      </c>
      <c r="H1016" s="172">
        <v>1.6</v>
      </c>
      <c r="I1016" s="172">
        <v>17.318</v>
      </c>
      <c r="J1016" s="297">
        <v>407.19</v>
      </c>
      <c r="K1016" s="214">
        <v>15.156</v>
      </c>
      <c r="L1016" s="297">
        <v>356.36</v>
      </c>
      <c r="M1016" s="214">
        <f t="shared" si="138"/>
        <v>0.04253002581658997</v>
      </c>
      <c r="N1016" s="40">
        <v>343.02</v>
      </c>
      <c r="O1016" s="290">
        <f t="shared" si="139"/>
        <v>14.58864945560669</v>
      </c>
      <c r="P1016" s="164">
        <f t="shared" si="140"/>
        <v>2551.801548995398</v>
      </c>
      <c r="Q1016" s="291">
        <f t="shared" si="141"/>
        <v>875.3189673364014</v>
      </c>
      <c r="S1016" s="80"/>
      <c r="T1016" s="80"/>
    </row>
    <row r="1017" spans="1:20" ht="12.75">
      <c r="A1017" s="902"/>
      <c r="B1017" s="40">
        <v>7</v>
      </c>
      <c r="C1017" s="45" t="s">
        <v>816</v>
      </c>
      <c r="D1017" s="40">
        <v>14</v>
      </c>
      <c r="E1017" s="40" t="s">
        <v>113</v>
      </c>
      <c r="F1017" s="172">
        <f t="shared" si="137"/>
        <v>32.400999999999996</v>
      </c>
      <c r="G1017" s="172">
        <v>0.878</v>
      </c>
      <c r="H1017" s="172">
        <v>2.25</v>
      </c>
      <c r="I1017" s="172">
        <v>29.273</v>
      </c>
      <c r="J1017" s="297">
        <v>880.52</v>
      </c>
      <c r="K1017" s="214">
        <v>22.838</v>
      </c>
      <c r="L1017" s="297">
        <v>522.48</v>
      </c>
      <c r="M1017" s="214">
        <f t="shared" si="138"/>
        <v>0.04371076404838463</v>
      </c>
      <c r="N1017" s="40">
        <v>343.02</v>
      </c>
      <c r="O1017" s="290">
        <f t="shared" si="139"/>
        <v>14.993666283876895</v>
      </c>
      <c r="P1017" s="164">
        <f t="shared" si="140"/>
        <v>2622.645842903078</v>
      </c>
      <c r="Q1017" s="291">
        <f t="shared" si="141"/>
        <v>899.6199770326139</v>
      </c>
      <c r="S1017" s="80"/>
      <c r="T1017" s="80"/>
    </row>
    <row r="1018" spans="1:20" ht="12.75">
      <c r="A1018" s="902"/>
      <c r="B1018" s="40">
        <v>8</v>
      </c>
      <c r="C1018" s="45" t="s">
        <v>817</v>
      </c>
      <c r="D1018" s="40">
        <v>7</v>
      </c>
      <c r="E1018" s="40" t="s">
        <v>113</v>
      </c>
      <c r="F1018" s="172">
        <f t="shared" si="137"/>
        <v>16.906</v>
      </c>
      <c r="G1018" s="172">
        <v>0.973</v>
      </c>
      <c r="H1018" s="172">
        <v>0.07</v>
      </c>
      <c r="I1018" s="172">
        <v>15.863</v>
      </c>
      <c r="J1018" s="297">
        <v>358.82</v>
      </c>
      <c r="K1018" s="214">
        <f>I1018</f>
        <v>15.863</v>
      </c>
      <c r="L1018" s="297">
        <f>J1018</f>
        <v>358.82</v>
      </c>
      <c r="M1018" s="214">
        <f t="shared" si="138"/>
        <v>0.044208795496349144</v>
      </c>
      <c r="N1018" s="40">
        <v>343.02</v>
      </c>
      <c r="O1018" s="290">
        <f t="shared" si="139"/>
        <v>15.164501031157682</v>
      </c>
      <c r="P1018" s="164">
        <f t="shared" si="140"/>
        <v>2652.5277297809484</v>
      </c>
      <c r="Q1018" s="291">
        <f t="shared" si="141"/>
        <v>909.8700618694609</v>
      </c>
      <c r="S1018" s="80"/>
      <c r="T1018" s="80"/>
    </row>
    <row r="1019" spans="1:20" ht="12.75">
      <c r="A1019" s="902"/>
      <c r="B1019" s="40">
        <v>9</v>
      </c>
      <c r="C1019" s="45" t="s">
        <v>818</v>
      </c>
      <c r="D1019" s="40">
        <v>10</v>
      </c>
      <c r="E1019" s="40" t="s">
        <v>113</v>
      </c>
      <c r="F1019" s="172">
        <f t="shared" si="137"/>
        <v>18.939</v>
      </c>
      <c r="G1019" s="172">
        <v>0.702</v>
      </c>
      <c r="H1019" s="172">
        <v>1.28</v>
      </c>
      <c r="I1019" s="172">
        <v>16.957</v>
      </c>
      <c r="J1019" s="297">
        <v>364.99</v>
      </c>
      <c r="K1019" s="214">
        <v>14.691</v>
      </c>
      <c r="L1019" s="297">
        <v>316.21</v>
      </c>
      <c r="M1019" s="214">
        <f t="shared" si="138"/>
        <v>0.04645963125770849</v>
      </c>
      <c r="N1019" s="40">
        <v>343.02</v>
      </c>
      <c r="O1019" s="290">
        <f t="shared" si="139"/>
        <v>15.936582714019165</v>
      </c>
      <c r="P1019" s="164">
        <f t="shared" si="140"/>
        <v>2787.5778754625094</v>
      </c>
      <c r="Q1019" s="291">
        <f t="shared" si="141"/>
        <v>956.1949628411498</v>
      </c>
      <c r="S1019" s="80"/>
      <c r="T1019" s="80"/>
    </row>
    <row r="1020" spans="1:20" ht="13.5" thickBot="1">
      <c r="A1020" s="903"/>
      <c r="B1020" s="42">
        <v>10</v>
      </c>
      <c r="C1020" s="46" t="s">
        <v>819</v>
      </c>
      <c r="D1020" s="42">
        <v>9</v>
      </c>
      <c r="E1020" s="42" t="s">
        <v>113</v>
      </c>
      <c r="F1020" s="493">
        <f t="shared" si="137"/>
        <v>31.682000000000002</v>
      </c>
      <c r="G1020" s="215">
        <v>0.432</v>
      </c>
      <c r="H1020" s="215">
        <v>1.84</v>
      </c>
      <c r="I1020" s="215">
        <v>29.41</v>
      </c>
      <c r="J1020" s="333">
        <v>775.39</v>
      </c>
      <c r="K1020" s="217">
        <v>22.137</v>
      </c>
      <c r="L1020" s="333">
        <v>426.62</v>
      </c>
      <c r="M1020" s="217">
        <f t="shared" si="138"/>
        <v>0.05188926913881206</v>
      </c>
      <c r="N1020" s="375">
        <v>343.02</v>
      </c>
      <c r="O1020" s="216">
        <f t="shared" si="139"/>
        <v>17.799057099995313</v>
      </c>
      <c r="P1020" s="216">
        <f t="shared" si="140"/>
        <v>3113.3561483287235</v>
      </c>
      <c r="Q1020" s="288">
        <f t="shared" si="141"/>
        <v>1067.9434259997188</v>
      </c>
      <c r="S1020" s="80"/>
      <c r="T1020" s="80"/>
    </row>
    <row r="1021" spans="19:20" ht="12.75">
      <c r="S1021" s="80"/>
      <c r="T1021" s="80"/>
    </row>
    <row r="1022" spans="19:20" ht="12.75">
      <c r="S1022" s="80"/>
      <c r="T1022" s="80"/>
    </row>
    <row r="1023" spans="19:20" ht="12.75">
      <c r="S1023" s="80"/>
      <c r="T1023" s="80"/>
    </row>
    <row r="1024" spans="19:20" ht="12.75">
      <c r="S1024" s="80"/>
      <c r="T1024" s="80"/>
    </row>
    <row r="1025" spans="19:20" ht="12.75">
      <c r="S1025" s="80"/>
      <c r="T1025" s="80"/>
    </row>
    <row r="1026" spans="1:20" ht="15">
      <c r="A1026" s="907" t="s">
        <v>53</v>
      </c>
      <c r="B1026" s="907"/>
      <c r="C1026" s="907"/>
      <c r="D1026" s="907"/>
      <c r="E1026" s="907"/>
      <c r="F1026" s="907"/>
      <c r="G1026" s="907"/>
      <c r="H1026" s="907"/>
      <c r="I1026" s="907"/>
      <c r="J1026" s="907"/>
      <c r="K1026" s="907"/>
      <c r="L1026" s="907"/>
      <c r="M1026" s="907"/>
      <c r="N1026" s="907"/>
      <c r="O1026" s="907"/>
      <c r="P1026" s="907"/>
      <c r="Q1026" s="907"/>
      <c r="S1026" s="80"/>
      <c r="T1026" s="80"/>
    </row>
    <row r="1027" spans="1:20" ht="13.5" thickBot="1">
      <c r="A1027" s="894" t="s">
        <v>820</v>
      </c>
      <c r="B1027" s="894"/>
      <c r="C1027" s="894"/>
      <c r="D1027" s="894"/>
      <c r="E1027" s="894"/>
      <c r="F1027" s="894"/>
      <c r="G1027" s="894"/>
      <c r="H1027" s="894"/>
      <c r="I1027" s="894"/>
      <c r="J1027" s="894"/>
      <c r="K1027" s="894"/>
      <c r="L1027" s="894"/>
      <c r="M1027" s="894"/>
      <c r="N1027" s="894"/>
      <c r="O1027" s="894"/>
      <c r="P1027" s="894"/>
      <c r="Q1027" s="894"/>
      <c r="S1027" s="80"/>
      <c r="T1027" s="80"/>
    </row>
    <row r="1028" spans="1:20" ht="12.75" customHeight="1">
      <c r="A1028" s="885" t="s">
        <v>1</v>
      </c>
      <c r="B1028" s="908" t="s">
        <v>0</v>
      </c>
      <c r="C1028" s="880" t="s">
        <v>2</v>
      </c>
      <c r="D1028" s="880" t="s">
        <v>3</v>
      </c>
      <c r="E1028" s="880" t="s">
        <v>13</v>
      </c>
      <c r="F1028" s="911" t="s">
        <v>14</v>
      </c>
      <c r="G1028" s="912"/>
      <c r="H1028" s="912"/>
      <c r="I1028" s="913"/>
      <c r="J1028" s="880" t="s">
        <v>4</v>
      </c>
      <c r="K1028" s="880" t="s">
        <v>15</v>
      </c>
      <c r="L1028" s="880" t="s">
        <v>5</v>
      </c>
      <c r="M1028" s="880" t="s">
        <v>6</v>
      </c>
      <c r="N1028" s="880" t="s">
        <v>16</v>
      </c>
      <c r="O1028" s="892" t="s">
        <v>17</v>
      </c>
      <c r="P1028" s="880" t="s">
        <v>25</v>
      </c>
      <c r="Q1028" s="890" t="s">
        <v>26</v>
      </c>
      <c r="S1028" s="80"/>
      <c r="T1028" s="80"/>
    </row>
    <row r="1029" spans="1:20" s="2" customFormat="1" ht="33.75">
      <c r="A1029" s="886"/>
      <c r="B1029" s="909"/>
      <c r="C1029" s="888"/>
      <c r="D1029" s="881"/>
      <c r="E1029" s="881"/>
      <c r="F1029" s="36" t="s">
        <v>18</v>
      </c>
      <c r="G1029" s="36" t="s">
        <v>19</v>
      </c>
      <c r="H1029" s="36" t="s">
        <v>20</v>
      </c>
      <c r="I1029" s="36" t="s">
        <v>21</v>
      </c>
      <c r="J1029" s="881"/>
      <c r="K1029" s="881"/>
      <c r="L1029" s="881"/>
      <c r="M1029" s="881"/>
      <c r="N1029" s="881"/>
      <c r="O1029" s="893"/>
      <c r="P1029" s="881"/>
      <c r="Q1029" s="891"/>
      <c r="S1029" s="80"/>
      <c r="T1029" s="80"/>
    </row>
    <row r="1030" spans="1:20" s="3" customFormat="1" ht="13.5" customHeight="1" thickBot="1">
      <c r="A1030" s="887"/>
      <c r="B1030" s="910"/>
      <c r="C1030" s="889"/>
      <c r="D1030" s="52" t="s">
        <v>7</v>
      </c>
      <c r="E1030" s="52" t="s">
        <v>8</v>
      </c>
      <c r="F1030" s="52" t="s">
        <v>9</v>
      </c>
      <c r="G1030" s="52" t="s">
        <v>9</v>
      </c>
      <c r="H1030" s="52" t="s">
        <v>9</v>
      </c>
      <c r="I1030" s="52" t="s">
        <v>9</v>
      </c>
      <c r="J1030" s="52" t="s">
        <v>22</v>
      </c>
      <c r="K1030" s="52" t="s">
        <v>9</v>
      </c>
      <c r="L1030" s="52" t="s">
        <v>22</v>
      </c>
      <c r="M1030" s="52" t="s">
        <v>69</v>
      </c>
      <c r="N1030" s="52" t="s">
        <v>10</v>
      </c>
      <c r="O1030" s="52" t="s">
        <v>70</v>
      </c>
      <c r="P1030" s="53" t="s">
        <v>27</v>
      </c>
      <c r="Q1030" s="54" t="s">
        <v>28</v>
      </c>
      <c r="S1030" s="80"/>
      <c r="T1030" s="80"/>
    </row>
    <row r="1031" spans="1:20" s="88" customFormat="1" ht="12.75" customHeight="1">
      <c r="A1031" s="876" t="s">
        <v>11</v>
      </c>
      <c r="B1031" s="90">
        <v>1</v>
      </c>
      <c r="C1031" s="56" t="s">
        <v>821</v>
      </c>
      <c r="D1031" s="55">
        <v>40</v>
      </c>
      <c r="E1031" s="55" t="s">
        <v>620</v>
      </c>
      <c r="F1031" s="235">
        <f>+G1031+H1031+I1031</f>
        <v>28.962998000000002</v>
      </c>
      <c r="G1031" s="235">
        <v>4.226664</v>
      </c>
      <c r="H1031" s="235">
        <v>6.17</v>
      </c>
      <c r="I1031" s="235">
        <v>18.566334</v>
      </c>
      <c r="J1031" s="86">
        <v>2233.8</v>
      </c>
      <c r="K1031" s="235">
        <v>18.566334</v>
      </c>
      <c r="L1031" s="86">
        <v>2233.8</v>
      </c>
      <c r="M1031" s="237">
        <f>K1031/L1031</f>
        <v>0.008311547139403706</v>
      </c>
      <c r="N1031" s="236">
        <v>276.2</v>
      </c>
      <c r="O1031" s="238">
        <f>M1031*N1031</f>
        <v>2.2956493199033035</v>
      </c>
      <c r="P1031" s="238">
        <f>M1031*60*1000</f>
        <v>498.69282836422235</v>
      </c>
      <c r="Q1031" s="239">
        <f>P1031*N1031/1000</f>
        <v>137.73895919419823</v>
      </c>
      <c r="R1031" s="92"/>
      <c r="S1031" s="80"/>
      <c r="T1031" s="80"/>
    </row>
    <row r="1032" spans="1:20" s="88" customFormat="1" ht="12.75">
      <c r="A1032" s="877"/>
      <c r="B1032" s="93">
        <v>2</v>
      </c>
      <c r="C1032" s="16" t="s">
        <v>822</v>
      </c>
      <c r="D1032" s="31">
        <v>45</v>
      </c>
      <c r="E1032" s="31" t="s">
        <v>620</v>
      </c>
      <c r="F1032" s="135">
        <f>+G1032+H1032+I1032</f>
        <v>33.379997</v>
      </c>
      <c r="G1032" s="135">
        <v>3.044064</v>
      </c>
      <c r="H1032" s="135">
        <v>6.48</v>
      </c>
      <c r="I1032" s="135">
        <v>23.855933</v>
      </c>
      <c r="J1032" s="163">
        <v>2324.7</v>
      </c>
      <c r="K1032" s="135">
        <v>23.855933</v>
      </c>
      <c r="L1032" s="163">
        <v>2324.7</v>
      </c>
      <c r="M1032" s="122">
        <f>K1032/L1032</f>
        <v>0.010261940465436402</v>
      </c>
      <c r="N1032" s="121">
        <v>276.2</v>
      </c>
      <c r="O1032" s="121">
        <f>M1032*N1032</f>
        <v>2.834347956553534</v>
      </c>
      <c r="P1032" s="238">
        <f>M1032*60*1000</f>
        <v>615.7164279261841</v>
      </c>
      <c r="Q1032" s="123">
        <f>P1032*N1032/1000</f>
        <v>170.06087739321205</v>
      </c>
      <c r="R1032" s="92"/>
      <c r="S1032" s="80"/>
      <c r="T1032" s="80"/>
    </row>
    <row r="1033" spans="1:20" s="88" customFormat="1" ht="12.75">
      <c r="A1033" s="878"/>
      <c r="B1033" s="87">
        <v>3</v>
      </c>
      <c r="C1033" s="16" t="s">
        <v>823</v>
      </c>
      <c r="D1033" s="31">
        <v>45</v>
      </c>
      <c r="E1033" s="31" t="s">
        <v>620</v>
      </c>
      <c r="F1033" s="135">
        <f>+G1033+H1033+I1033</f>
        <v>34.499998</v>
      </c>
      <c r="G1033" s="135">
        <v>3.445308</v>
      </c>
      <c r="H1033" s="135">
        <v>6.8</v>
      </c>
      <c r="I1033" s="135">
        <v>24.25469</v>
      </c>
      <c r="J1033" s="163">
        <v>2290.41</v>
      </c>
      <c r="K1033" s="135">
        <v>24.25469</v>
      </c>
      <c r="L1033" s="163">
        <v>2290.41</v>
      </c>
      <c r="M1033" s="122">
        <f>K1033/L1033</f>
        <v>0.010589671718163997</v>
      </c>
      <c r="N1033" s="121">
        <v>276.2</v>
      </c>
      <c r="O1033" s="121">
        <f>M1033*N1033</f>
        <v>2.924867328556896</v>
      </c>
      <c r="P1033" s="238">
        <f>M1033*60*1000</f>
        <v>635.3803030898398</v>
      </c>
      <c r="Q1033" s="123">
        <f>P1033*N1033/1000</f>
        <v>175.49203971341373</v>
      </c>
      <c r="S1033" s="80"/>
      <c r="T1033" s="80"/>
    </row>
    <row r="1034" spans="1:20" s="88" customFormat="1" ht="12.75" customHeight="1">
      <c r="A1034" s="878"/>
      <c r="B1034" s="87">
        <v>4</v>
      </c>
      <c r="C1034" s="16" t="s">
        <v>824</v>
      </c>
      <c r="D1034" s="31">
        <v>40</v>
      </c>
      <c r="E1034" s="31" t="s">
        <v>620</v>
      </c>
      <c r="F1034" s="135">
        <f>+G1034+H1034+I1034</f>
        <v>34.100004</v>
      </c>
      <c r="G1034" s="135">
        <v>2.868468</v>
      </c>
      <c r="H1034" s="135">
        <v>6.08</v>
      </c>
      <c r="I1034" s="135">
        <v>25.151536</v>
      </c>
      <c r="J1034" s="163">
        <v>2260.27</v>
      </c>
      <c r="K1034" s="135">
        <v>25.151536</v>
      </c>
      <c r="L1034" s="163">
        <v>2260.27</v>
      </c>
      <c r="M1034" s="122">
        <f>K1034/L1034</f>
        <v>0.011127668818327014</v>
      </c>
      <c r="N1034" s="121">
        <v>276.2</v>
      </c>
      <c r="O1034" s="121">
        <f>M1034*N1034</f>
        <v>3.073462127621921</v>
      </c>
      <c r="P1034" s="238">
        <f>M1034*60*1000</f>
        <v>667.6601290996208</v>
      </c>
      <c r="Q1034" s="123">
        <f>P1034*N1034/1000</f>
        <v>184.40772765731526</v>
      </c>
      <c r="S1034" s="80"/>
      <c r="T1034" s="80"/>
    </row>
    <row r="1035" spans="1:20" s="88" customFormat="1" ht="12.75">
      <c r="A1035" s="878"/>
      <c r="B1035" s="87">
        <v>5</v>
      </c>
      <c r="C1035" s="16" t="s">
        <v>825</v>
      </c>
      <c r="D1035" s="31">
        <v>25</v>
      </c>
      <c r="E1035" s="31" t="s">
        <v>620</v>
      </c>
      <c r="F1035" s="135">
        <f>+G1035+H1035+I1035</f>
        <v>18.41</v>
      </c>
      <c r="G1035" s="135">
        <v>1.452588</v>
      </c>
      <c r="H1035" s="135">
        <v>1.86</v>
      </c>
      <c r="I1035" s="135">
        <v>15.097412</v>
      </c>
      <c r="J1035" s="163">
        <v>1312.39</v>
      </c>
      <c r="K1035" s="135">
        <v>15.097412</v>
      </c>
      <c r="L1035" s="163">
        <v>1312.39</v>
      </c>
      <c r="M1035" s="122">
        <f>K1035/L1035</f>
        <v>0.011503754219401245</v>
      </c>
      <c r="N1035" s="121">
        <v>276.2</v>
      </c>
      <c r="O1035" s="121">
        <f>M1035*N1035</f>
        <v>3.177336915398624</v>
      </c>
      <c r="P1035" s="238">
        <f>M1035*60*1000</f>
        <v>690.2252531640747</v>
      </c>
      <c r="Q1035" s="123">
        <f>P1035*N1035/1000</f>
        <v>190.64021492391743</v>
      </c>
      <c r="S1035" s="80"/>
      <c r="T1035" s="80"/>
    </row>
    <row r="1036" spans="1:20" s="88" customFormat="1" ht="12.75">
      <c r="A1036" s="878"/>
      <c r="B1036" s="94"/>
      <c r="C1036" s="16"/>
      <c r="D1036" s="31"/>
      <c r="E1036" s="31"/>
      <c r="F1036" s="240"/>
      <c r="G1036" s="240"/>
      <c r="H1036" s="240"/>
      <c r="I1036" s="240"/>
      <c r="J1036" s="163"/>
      <c r="K1036" s="240"/>
      <c r="L1036" s="163"/>
      <c r="M1036" s="122"/>
      <c r="N1036" s="121"/>
      <c r="O1036" s="121"/>
      <c r="P1036" s="238"/>
      <c r="Q1036" s="123"/>
      <c r="S1036" s="80"/>
      <c r="T1036" s="80"/>
    </row>
    <row r="1037" spans="1:20" s="88" customFormat="1" ht="12.75">
      <c r="A1037" s="878"/>
      <c r="B1037" s="94"/>
      <c r="C1037" s="16"/>
      <c r="D1037" s="31"/>
      <c r="E1037" s="31"/>
      <c r="F1037" s="240"/>
      <c r="G1037" s="240"/>
      <c r="H1037" s="240"/>
      <c r="I1037" s="240"/>
      <c r="J1037" s="163"/>
      <c r="K1037" s="240"/>
      <c r="L1037" s="163"/>
      <c r="M1037" s="122"/>
      <c r="N1037" s="121"/>
      <c r="O1037" s="121"/>
      <c r="P1037" s="238"/>
      <c r="Q1037" s="123"/>
      <c r="S1037" s="80"/>
      <c r="T1037" s="80"/>
    </row>
    <row r="1038" spans="1:20" s="88" customFormat="1" ht="13.5" thickBot="1">
      <c r="A1038" s="879"/>
      <c r="B1038" s="91" t="s">
        <v>44</v>
      </c>
      <c r="C1038" s="206"/>
      <c r="D1038" s="207"/>
      <c r="E1038" s="208"/>
      <c r="F1038" s="364"/>
      <c r="G1038" s="364"/>
      <c r="H1038" s="364"/>
      <c r="I1038" s="364"/>
      <c r="J1038" s="207"/>
      <c r="K1038" s="364"/>
      <c r="L1038" s="207"/>
      <c r="M1038" s="362"/>
      <c r="N1038" s="361"/>
      <c r="O1038" s="361"/>
      <c r="P1038" s="361"/>
      <c r="Q1038" s="363"/>
      <c r="S1038" s="80"/>
      <c r="T1038" s="80"/>
    </row>
    <row r="1039" spans="1:20" s="88" customFormat="1" ht="12.75" customHeight="1">
      <c r="A1039" s="882" t="s">
        <v>29</v>
      </c>
      <c r="B1039" s="114">
        <v>1</v>
      </c>
      <c r="C1039" s="34" t="s">
        <v>826</v>
      </c>
      <c r="D1039" s="35">
        <v>12</v>
      </c>
      <c r="E1039" s="35" t="s">
        <v>620</v>
      </c>
      <c r="F1039" s="247">
        <f>+G1039+H1039+I1039</f>
        <v>11.735100000000001</v>
      </c>
      <c r="G1039" s="247">
        <v>0.94588</v>
      </c>
      <c r="H1039" s="247">
        <v>1.6031</v>
      </c>
      <c r="I1039" s="248">
        <v>9.18612</v>
      </c>
      <c r="J1039" s="397">
        <v>664.97</v>
      </c>
      <c r="K1039" s="247">
        <v>9.18612</v>
      </c>
      <c r="L1039" s="397">
        <v>664.97</v>
      </c>
      <c r="M1039" s="136">
        <f>K1039/L1039</f>
        <v>0.013814337488909275</v>
      </c>
      <c r="N1039" s="137">
        <v>276.2</v>
      </c>
      <c r="O1039" s="137">
        <f>M1039*N1039</f>
        <v>3.815520014436742</v>
      </c>
      <c r="P1039" s="137">
        <f>M1039*60*1000</f>
        <v>828.8602493345564</v>
      </c>
      <c r="Q1039" s="157">
        <f>P1039*N1039/1000</f>
        <v>228.93120086620448</v>
      </c>
      <c r="S1039" s="80"/>
      <c r="T1039" s="80"/>
    </row>
    <row r="1040" spans="1:20" s="88" customFormat="1" ht="12.75" customHeight="1">
      <c r="A1040" s="883"/>
      <c r="B1040" s="95">
        <v>2</v>
      </c>
      <c r="C1040" s="34" t="s">
        <v>827</v>
      </c>
      <c r="D1040" s="35">
        <v>51</v>
      </c>
      <c r="E1040" s="35" t="s">
        <v>620</v>
      </c>
      <c r="F1040" s="248">
        <f>+G1040+H1040+I1040</f>
        <v>50.1000081</v>
      </c>
      <c r="G1040" s="248">
        <v>3.000109</v>
      </c>
      <c r="H1040" s="248">
        <v>6.37</v>
      </c>
      <c r="I1040" s="248">
        <v>40.7298991</v>
      </c>
      <c r="J1040" s="110">
        <v>2602.6</v>
      </c>
      <c r="K1040" s="248">
        <v>40.729891</v>
      </c>
      <c r="L1040" s="110">
        <v>2602.6</v>
      </c>
      <c r="M1040" s="136">
        <f>K1040/L1040</f>
        <v>0.015649692999308386</v>
      </c>
      <c r="N1040" s="127">
        <v>276.2</v>
      </c>
      <c r="O1040" s="137">
        <f>M1040*N1040</f>
        <v>4.322445206408976</v>
      </c>
      <c r="P1040" s="137">
        <f>M1040*60*1000</f>
        <v>938.9815799585032</v>
      </c>
      <c r="Q1040" s="157">
        <f>P1040*N1040/1000</f>
        <v>259.3467123845386</v>
      </c>
      <c r="S1040" s="80"/>
      <c r="T1040" s="80"/>
    </row>
    <row r="1041" spans="1:20" ht="12.75" customHeight="1">
      <c r="A1041" s="883"/>
      <c r="B1041" s="35">
        <v>3</v>
      </c>
      <c r="C1041" s="34" t="s">
        <v>828</v>
      </c>
      <c r="D1041" s="35">
        <v>103</v>
      </c>
      <c r="E1041" s="35" t="s">
        <v>620</v>
      </c>
      <c r="F1041" s="248">
        <f>+G1041+H1041+I1041</f>
        <v>89.989983</v>
      </c>
      <c r="G1041" s="248">
        <v>5.3751</v>
      </c>
      <c r="H1041" s="248">
        <v>14.45</v>
      </c>
      <c r="I1041" s="248">
        <v>70.164883</v>
      </c>
      <c r="J1041" s="110">
        <v>4386.74</v>
      </c>
      <c r="K1041" s="248">
        <v>70.164883</v>
      </c>
      <c r="L1041" s="110">
        <v>4386.74</v>
      </c>
      <c r="M1041" s="128">
        <f>K1041/L1041</f>
        <v>0.015994766728823683</v>
      </c>
      <c r="N1041" s="127">
        <v>276.2</v>
      </c>
      <c r="O1041" s="137">
        <f>M1041*N1041</f>
        <v>4.417754570501101</v>
      </c>
      <c r="P1041" s="137">
        <f>M1041*60*1000</f>
        <v>959.6860037294209</v>
      </c>
      <c r="Q1041" s="155">
        <f>P1041*N1041/1000</f>
        <v>265.06527423006605</v>
      </c>
      <c r="S1041" s="80"/>
      <c r="T1041" s="80"/>
    </row>
    <row r="1042" spans="1:20" ht="12.75" customHeight="1">
      <c r="A1042" s="883"/>
      <c r="B1042" s="35">
        <v>4</v>
      </c>
      <c r="C1042" s="34" t="s">
        <v>829</v>
      </c>
      <c r="D1042" s="35">
        <v>8</v>
      </c>
      <c r="E1042" s="35" t="s">
        <v>620</v>
      </c>
      <c r="F1042" s="248">
        <f>+G1042+H1042+I1042</f>
        <v>6.250001</v>
      </c>
      <c r="G1042" s="248">
        <v>0</v>
      </c>
      <c r="H1042" s="248">
        <v>0</v>
      </c>
      <c r="I1042" s="248">
        <v>6.250001</v>
      </c>
      <c r="J1042" s="110">
        <v>375.31</v>
      </c>
      <c r="K1042" s="248">
        <v>6.250001</v>
      </c>
      <c r="L1042" s="110">
        <v>375.31</v>
      </c>
      <c r="M1042" s="128">
        <f>K1042/L1042</f>
        <v>0.016652902933574912</v>
      </c>
      <c r="N1042" s="127">
        <v>276.2</v>
      </c>
      <c r="O1042" s="127">
        <f>M1042*N1042</f>
        <v>4.5995317902533905</v>
      </c>
      <c r="P1042" s="137">
        <f>M1042*60*1000</f>
        <v>999.1741760144947</v>
      </c>
      <c r="Q1042" s="155">
        <f>P1042*N1042/1000</f>
        <v>275.9719074152035</v>
      </c>
      <c r="S1042" s="80"/>
      <c r="T1042" s="80"/>
    </row>
    <row r="1043" spans="1:20" ht="12.75" customHeight="1">
      <c r="A1043" s="883"/>
      <c r="B1043" s="35"/>
      <c r="C1043" s="34"/>
      <c r="D1043" s="35"/>
      <c r="E1043" s="35"/>
      <c r="F1043" s="248"/>
      <c r="G1043" s="248"/>
      <c r="H1043" s="248"/>
      <c r="I1043" s="248"/>
      <c r="J1043" s="110"/>
      <c r="K1043" s="248"/>
      <c r="L1043" s="110"/>
      <c r="M1043" s="128"/>
      <c r="N1043" s="127"/>
      <c r="O1043" s="127"/>
      <c r="P1043" s="137"/>
      <c r="Q1043" s="155"/>
      <c r="S1043" s="80"/>
      <c r="T1043" s="80"/>
    </row>
    <row r="1044" spans="1:20" ht="12.75" customHeight="1">
      <c r="A1044" s="883"/>
      <c r="B1044" s="35"/>
      <c r="C1044" s="34"/>
      <c r="D1044" s="35"/>
      <c r="E1044" s="35"/>
      <c r="F1044" s="248"/>
      <c r="G1044" s="248"/>
      <c r="H1044" s="248"/>
      <c r="I1044" s="248"/>
      <c r="J1044" s="110"/>
      <c r="K1044" s="248"/>
      <c r="L1044" s="110"/>
      <c r="M1044" s="128"/>
      <c r="N1044" s="127"/>
      <c r="O1044" s="127"/>
      <c r="P1044" s="137"/>
      <c r="Q1044" s="155"/>
      <c r="S1044" s="80"/>
      <c r="T1044" s="80"/>
    </row>
    <row r="1045" spans="1:20" ht="13.5" customHeight="1" thickBot="1">
      <c r="A1045" s="884"/>
      <c r="B1045" s="83"/>
      <c r="C1045" s="76"/>
      <c r="D1045" s="37"/>
      <c r="E1045" s="37"/>
      <c r="F1045" s="250"/>
      <c r="G1045" s="250"/>
      <c r="H1045" s="250"/>
      <c r="I1045" s="250"/>
      <c r="J1045" s="171"/>
      <c r="K1045" s="250"/>
      <c r="L1045" s="171"/>
      <c r="M1045" s="205"/>
      <c r="N1045" s="158"/>
      <c r="O1045" s="158"/>
      <c r="P1045" s="158"/>
      <c r="Q1045" s="159"/>
      <c r="S1045" s="80"/>
      <c r="T1045" s="80"/>
    </row>
    <row r="1046" spans="1:20" ht="13.5" customHeight="1">
      <c r="A1046" s="895" t="s">
        <v>76</v>
      </c>
      <c r="B1046" s="262">
        <v>1</v>
      </c>
      <c r="C1046" s="254" t="s">
        <v>830</v>
      </c>
      <c r="D1046" s="218">
        <v>20</v>
      </c>
      <c r="E1046" s="218" t="s">
        <v>620</v>
      </c>
      <c r="F1046" s="389">
        <f aca="true" t="shared" si="145" ref="F1046:F1051">+G1046+H1046+I1046</f>
        <v>27.2</v>
      </c>
      <c r="G1046" s="389">
        <v>0</v>
      </c>
      <c r="H1046" s="389">
        <v>0</v>
      </c>
      <c r="I1046" s="389">
        <v>27.2</v>
      </c>
      <c r="J1046" s="399">
        <v>1098.97</v>
      </c>
      <c r="K1046" s="389">
        <v>27.2</v>
      </c>
      <c r="L1046" s="331">
        <v>1098.97</v>
      </c>
      <c r="M1046" s="268">
        <f aca="true" t="shared" si="146" ref="M1046:M1051">K1046/L1046</f>
        <v>0.024750448146901187</v>
      </c>
      <c r="N1046" s="267">
        <v>276.2</v>
      </c>
      <c r="O1046" s="267">
        <f aca="true" t="shared" si="147" ref="O1046:O1051">M1046*N1046</f>
        <v>6.836073778174107</v>
      </c>
      <c r="P1046" s="267">
        <f aca="true" t="shared" si="148" ref="P1046:P1051">M1046*60*1000</f>
        <v>1485.0268888140713</v>
      </c>
      <c r="Q1046" s="269">
        <f aca="true" t="shared" si="149" ref="Q1046:Q1051">P1046*N1046/1000</f>
        <v>410.1644266904465</v>
      </c>
      <c r="S1046" s="80"/>
      <c r="T1046" s="80"/>
    </row>
    <row r="1047" spans="1:20" ht="13.5" customHeight="1">
      <c r="A1047" s="896"/>
      <c r="B1047" s="219">
        <v>2</v>
      </c>
      <c r="C1047" s="256" t="s">
        <v>831</v>
      </c>
      <c r="D1047" s="219">
        <v>90</v>
      </c>
      <c r="E1047" s="219" t="s">
        <v>620</v>
      </c>
      <c r="F1047" s="270">
        <f t="shared" si="145"/>
        <v>129.999002</v>
      </c>
      <c r="G1047" s="270">
        <v>6.985008</v>
      </c>
      <c r="H1047" s="270">
        <v>11.95</v>
      </c>
      <c r="I1047" s="270">
        <v>111.063994</v>
      </c>
      <c r="J1047" s="261">
        <v>4473.08</v>
      </c>
      <c r="K1047" s="270">
        <v>111.063994</v>
      </c>
      <c r="L1047" s="261">
        <v>4473.08</v>
      </c>
      <c r="M1047" s="272">
        <f t="shared" si="146"/>
        <v>0.024829422679674855</v>
      </c>
      <c r="N1047" s="271">
        <v>276.2</v>
      </c>
      <c r="O1047" s="271">
        <f t="shared" si="147"/>
        <v>6.8578865441261945</v>
      </c>
      <c r="P1047" s="267">
        <f t="shared" si="148"/>
        <v>1489.7653607804912</v>
      </c>
      <c r="Q1047" s="273">
        <f t="shared" si="149"/>
        <v>411.47319264757164</v>
      </c>
      <c r="S1047" s="80"/>
      <c r="T1047" s="80"/>
    </row>
    <row r="1048" spans="1:20" ht="13.5" customHeight="1">
      <c r="A1048" s="896"/>
      <c r="B1048" s="219">
        <v>3</v>
      </c>
      <c r="C1048" s="256" t="s">
        <v>832</v>
      </c>
      <c r="D1048" s="219">
        <v>90</v>
      </c>
      <c r="E1048" s="219" t="s">
        <v>620</v>
      </c>
      <c r="F1048" s="270">
        <f t="shared" si="145"/>
        <v>134.15999300000001</v>
      </c>
      <c r="G1048" s="270">
        <v>6.0306</v>
      </c>
      <c r="H1048" s="270">
        <v>13.28</v>
      </c>
      <c r="I1048" s="270">
        <v>114.849393</v>
      </c>
      <c r="J1048" s="261">
        <v>4481.84</v>
      </c>
      <c r="K1048" s="270">
        <v>114.849393</v>
      </c>
      <c r="L1048" s="261">
        <v>4481.84</v>
      </c>
      <c r="M1048" s="272">
        <f t="shared" si="146"/>
        <v>0.025625500464095105</v>
      </c>
      <c r="N1048" s="271">
        <v>276.2</v>
      </c>
      <c r="O1048" s="271">
        <f t="shared" si="147"/>
        <v>7.077763228183068</v>
      </c>
      <c r="P1048" s="267">
        <f t="shared" si="148"/>
        <v>1537.5300278457062</v>
      </c>
      <c r="Q1048" s="273">
        <f t="shared" si="149"/>
        <v>424.665793690984</v>
      </c>
      <c r="S1048" s="80"/>
      <c r="T1048" s="80"/>
    </row>
    <row r="1049" spans="1:20" ht="13.5" customHeight="1">
      <c r="A1049" s="896"/>
      <c r="B1049" s="219">
        <v>4</v>
      </c>
      <c r="C1049" s="256" t="s">
        <v>833</v>
      </c>
      <c r="D1049" s="219">
        <v>45</v>
      </c>
      <c r="E1049" s="219" t="s">
        <v>620</v>
      </c>
      <c r="F1049" s="270">
        <f t="shared" si="145"/>
        <v>70.999999</v>
      </c>
      <c r="G1049" s="270">
        <v>3.612705</v>
      </c>
      <c r="H1049" s="270">
        <v>6.88</v>
      </c>
      <c r="I1049" s="270">
        <v>60.507294</v>
      </c>
      <c r="J1049" s="261">
        <v>2338.95</v>
      </c>
      <c r="K1049" s="270">
        <v>60.507294</v>
      </c>
      <c r="L1049" s="261">
        <v>2338.95</v>
      </c>
      <c r="M1049" s="272">
        <f t="shared" si="146"/>
        <v>0.025869426024498175</v>
      </c>
      <c r="N1049" s="271">
        <v>276.2</v>
      </c>
      <c r="O1049" s="271">
        <f t="shared" si="147"/>
        <v>7.145135467966396</v>
      </c>
      <c r="P1049" s="267">
        <f t="shared" si="148"/>
        <v>1552.1655614698907</v>
      </c>
      <c r="Q1049" s="273">
        <f t="shared" si="149"/>
        <v>428.7081280779838</v>
      </c>
      <c r="S1049" s="80"/>
      <c r="T1049" s="80"/>
    </row>
    <row r="1050" spans="1:20" ht="13.5" customHeight="1">
      <c r="A1050" s="896"/>
      <c r="B1050" s="219">
        <v>5</v>
      </c>
      <c r="C1050" s="256" t="s">
        <v>834</v>
      </c>
      <c r="D1050" s="219">
        <v>90</v>
      </c>
      <c r="E1050" s="219" t="s">
        <v>620</v>
      </c>
      <c r="F1050" s="270">
        <f t="shared" si="145"/>
        <v>135.939996</v>
      </c>
      <c r="G1050" s="270">
        <v>6.696588</v>
      </c>
      <c r="H1050" s="270">
        <v>12.27</v>
      </c>
      <c r="I1050" s="270">
        <v>116.973408</v>
      </c>
      <c r="J1050" s="261">
        <v>4484.76</v>
      </c>
      <c r="K1050" s="270">
        <v>116.973408</v>
      </c>
      <c r="L1050" s="261">
        <v>4484.76</v>
      </c>
      <c r="M1050" s="272">
        <f t="shared" si="146"/>
        <v>0.026082423139699783</v>
      </c>
      <c r="N1050" s="271">
        <v>276.2</v>
      </c>
      <c r="O1050" s="271">
        <f t="shared" si="147"/>
        <v>7.20396527118508</v>
      </c>
      <c r="P1050" s="267">
        <f t="shared" si="148"/>
        <v>1564.945388381987</v>
      </c>
      <c r="Q1050" s="273">
        <f t="shared" si="149"/>
        <v>432.2379162711048</v>
      </c>
      <c r="S1050" s="80"/>
      <c r="T1050" s="80"/>
    </row>
    <row r="1051" spans="1:20" ht="13.5" customHeight="1">
      <c r="A1051" s="896"/>
      <c r="B1051" s="219">
        <v>6</v>
      </c>
      <c r="C1051" s="256" t="s">
        <v>835</v>
      </c>
      <c r="D1051" s="219">
        <v>90</v>
      </c>
      <c r="E1051" s="219" t="s">
        <v>620</v>
      </c>
      <c r="F1051" s="270">
        <f t="shared" si="145"/>
        <v>134.317999</v>
      </c>
      <c r="G1051" s="270">
        <v>4.716045</v>
      </c>
      <c r="H1051" s="270">
        <v>11.41</v>
      </c>
      <c r="I1051" s="270">
        <v>118.191954</v>
      </c>
      <c r="J1051" s="261">
        <v>4531.2</v>
      </c>
      <c r="K1051" s="270">
        <v>118.191954</v>
      </c>
      <c r="L1051" s="261">
        <v>4531.2</v>
      </c>
      <c r="M1051" s="272">
        <f t="shared" si="146"/>
        <v>0.02608402939618644</v>
      </c>
      <c r="N1051" s="271">
        <v>276.2</v>
      </c>
      <c r="O1051" s="271">
        <f t="shared" si="147"/>
        <v>7.204408919226695</v>
      </c>
      <c r="P1051" s="267">
        <f t="shared" si="148"/>
        <v>1565.0417637711864</v>
      </c>
      <c r="Q1051" s="273">
        <f t="shared" si="149"/>
        <v>432.2645351536017</v>
      </c>
      <c r="S1051" s="80"/>
      <c r="T1051" s="80"/>
    </row>
    <row r="1052" spans="1:20" ht="13.5" customHeight="1">
      <c r="A1052" s="896"/>
      <c r="B1052" s="219"/>
      <c r="C1052" s="256"/>
      <c r="D1052" s="219"/>
      <c r="E1052" s="219"/>
      <c r="F1052" s="270"/>
      <c r="G1052" s="270"/>
      <c r="H1052" s="270"/>
      <c r="I1052" s="270"/>
      <c r="J1052" s="261"/>
      <c r="K1052" s="270"/>
      <c r="L1052" s="261"/>
      <c r="M1052" s="272"/>
      <c r="N1052" s="271"/>
      <c r="O1052" s="271"/>
      <c r="P1052" s="267"/>
      <c r="Q1052" s="273"/>
      <c r="S1052" s="80"/>
      <c r="T1052" s="80"/>
    </row>
    <row r="1053" spans="1:20" ht="13.5" customHeight="1" thickBot="1">
      <c r="A1053" s="897"/>
      <c r="B1053" s="232"/>
      <c r="C1053" s="258"/>
      <c r="D1053" s="232"/>
      <c r="E1053" s="232"/>
      <c r="F1053" s="274"/>
      <c r="G1053" s="274"/>
      <c r="H1053" s="274"/>
      <c r="I1053" s="274"/>
      <c r="J1053" s="263"/>
      <c r="K1053" s="274"/>
      <c r="L1053" s="263"/>
      <c r="M1053" s="276"/>
      <c r="N1053" s="275"/>
      <c r="O1053" s="275"/>
      <c r="P1053" s="275"/>
      <c r="Q1053" s="277"/>
      <c r="S1053" s="80"/>
      <c r="T1053" s="80"/>
    </row>
    <row r="1054" spans="1:20" ht="13.5" customHeight="1">
      <c r="A1054" s="898" t="s">
        <v>77</v>
      </c>
      <c r="B1054" s="73">
        <v>1</v>
      </c>
      <c r="C1054" s="225" t="s">
        <v>836</v>
      </c>
      <c r="D1054" s="38">
        <v>5</v>
      </c>
      <c r="E1054" s="38" t="s">
        <v>620</v>
      </c>
      <c r="F1054" s="394">
        <f aca="true" t="shared" si="150" ref="F1054:F1060">+G1054+H1054+I1054</f>
        <v>9.920001</v>
      </c>
      <c r="G1054" s="394">
        <v>0</v>
      </c>
      <c r="H1054" s="394">
        <v>0</v>
      </c>
      <c r="I1054" s="394">
        <v>9.920001</v>
      </c>
      <c r="J1054" s="334">
        <v>176.04</v>
      </c>
      <c r="K1054" s="394">
        <v>9.920001</v>
      </c>
      <c r="L1054" s="332">
        <v>176.04</v>
      </c>
      <c r="M1054" s="213">
        <f aca="true" t="shared" si="151" ref="M1054:M1060">K1054/L1054</f>
        <v>0.05635083503749148</v>
      </c>
      <c r="N1054" s="164">
        <v>276.2</v>
      </c>
      <c r="O1054" s="164">
        <f aca="true" t="shared" si="152" ref="O1054:O1060">M1054*N1054</f>
        <v>15.564100637355144</v>
      </c>
      <c r="P1054" s="164">
        <f aca="true" t="shared" si="153" ref="P1054:P1060">M1054*60*1000</f>
        <v>3381.0501022494886</v>
      </c>
      <c r="Q1054" s="285">
        <f aca="true" t="shared" si="154" ref="Q1054:Q1060">P1054*N1054/1000</f>
        <v>933.8460382413087</v>
      </c>
      <c r="S1054" s="80"/>
      <c r="T1054" s="80"/>
    </row>
    <row r="1055" spans="1:20" ht="13.5" customHeight="1">
      <c r="A1055" s="899"/>
      <c r="B1055" s="40">
        <v>2</v>
      </c>
      <c r="C1055" s="45" t="s">
        <v>837</v>
      </c>
      <c r="D1055" s="40">
        <v>5</v>
      </c>
      <c r="E1055" s="40" t="s">
        <v>620</v>
      </c>
      <c r="F1055" s="172">
        <f t="shared" si="150"/>
        <v>11.58</v>
      </c>
      <c r="G1055" s="172">
        <v>0</v>
      </c>
      <c r="H1055" s="172">
        <v>0.02</v>
      </c>
      <c r="I1055" s="172">
        <v>11.56</v>
      </c>
      <c r="J1055" s="297">
        <v>224.02</v>
      </c>
      <c r="K1055" s="172">
        <v>11.56</v>
      </c>
      <c r="L1055" s="297">
        <v>224.02</v>
      </c>
      <c r="M1055" s="214">
        <f t="shared" si="151"/>
        <v>0.05160253548790287</v>
      </c>
      <c r="N1055" s="164">
        <v>276.2</v>
      </c>
      <c r="O1055" s="290">
        <f t="shared" si="152"/>
        <v>14.252620301758771</v>
      </c>
      <c r="P1055" s="164">
        <f t="shared" si="153"/>
        <v>3096.1521292741722</v>
      </c>
      <c r="Q1055" s="291">
        <f t="shared" si="154"/>
        <v>855.1572181055263</v>
      </c>
      <c r="S1055" s="80"/>
      <c r="T1055" s="80"/>
    </row>
    <row r="1056" spans="1:20" ht="13.5" customHeight="1">
      <c r="A1056" s="899"/>
      <c r="B1056" s="40">
        <v>3</v>
      </c>
      <c r="C1056" s="45" t="s">
        <v>838</v>
      </c>
      <c r="D1056" s="40">
        <v>8</v>
      </c>
      <c r="E1056" s="40" t="s">
        <v>620</v>
      </c>
      <c r="F1056" s="172">
        <f t="shared" si="150"/>
        <v>18.036001</v>
      </c>
      <c r="G1056" s="172">
        <v>0.178048</v>
      </c>
      <c r="H1056" s="172">
        <v>0.88</v>
      </c>
      <c r="I1056" s="172">
        <v>16.977953</v>
      </c>
      <c r="J1056" s="297">
        <v>347.21</v>
      </c>
      <c r="K1056" s="172">
        <v>16.977953</v>
      </c>
      <c r="L1056" s="297">
        <v>347.21</v>
      </c>
      <c r="M1056" s="214">
        <f t="shared" si="151"/>
        <v>0.04889822585755019</v>
      </c>
      <c r="N1056" s="164">
        <v>276.2</v>
      </c>
      <c r="O1056" s="290">
        <f t="shared" si="152"/>
        <v>13.505689981855362</v>
      </c>
      <c r="P1056" s="164">
        <f t="shared" si="153"/>
        <v>2933.8935514530112</v>
      </c>
      <c r="Q1056" s="291">
        <f t="shared" si="154"/>
        <v>810.3413989113217</v>
      </c>
      <c r="S1056" s="80"/>
      <c r="T1056" s="80"/>
    </row>
    <row r="1057" spans="1:20" ht="13.5" customHeight="1">
      <c r="A1057" s="899"/>
      <c r="B1057" s="40">
        <v>4</v>
      </c>
      <c r="C1057" s="45" t="s">
        <v>839</v>
      </c>
      <c r="D1057" s="40">
        <v>12</v>
      </c>
      <c r="E1057" s="40" t="s">
        <v>620</v>
      </c>
      <c r="F1057" s="172">
        <f t="shared" si="150"/>
        <v>27.300000999999998</v>
      </c>
      <c r="G1057" s="172">
        <v>0.534888</v>
      </c>
      <c r="H1057" s="172">
        <v>0.39</v>
      </c>
      <c r="I1057" s="172">
        <v>26.375113</v>
      </c>
      <c r="J1057" s="297">
        <v>543.67</v>
      </c>
      <c r="K1057" s="172">
        <v>26.375113</v>
      </c>
      <c r="L1057" s="297">
        <v>543.67</v>
      </c>
      <c r="M1057" s="214">
        <f t="shared" si="151"/>
        <v>0.04851309250096566</v>
      </c>
      <c r="N1057" s="164">
        <v>276.2</v>
      </c>
      <c r="O1057" s="290">
        <f t="shared" si="152"/>
        <v>13.399316148766715</v>
      </c>
      <c r="P1057" s="164">
        <f t="shared" si="153"/>
        <v>2910.7855500579394</v>
      </c>
      <c r="Q1057" s="291">
        <f t="shared" si="154"/>
        <v>803.9589689260029</v>
      </c>
      <c r="S1057" s="80"/>
      <c r="T1057" s="80"/>
    </row>
    <row r="1058" spans="1:20" ht="13.5" customHeight="1">
      <c r="A1058" s="899"/>
      <c r="B1058" s="40">
        <v>5</v>
      </c>
      <c r="C1058" s="45" t="s">
        <v>840</v>
      </c>
      <c r="D1058" s="40">
        <v>22</v>
      </c>
      <c r="E1058" s="40" t="s">
        <v>620</v>
      </c>
      <c r="F1058" s="172">
        <f t="shared" si="150"/>
        <v>42.2</v>
      </c>
      <c r="G1058" s="172">
        <v>0</v>
      </c>
      <c r="H1058" s="172">
        <v>0</v>
      </c>
      <c r="I1058" s="172">
        <v>42.2</v>
      </c>
      <c r="J1058" s="297">
        <v>896.07</v>
      </c>
      <c r="K1058" s="172">
        <v>42.2</v>
      </c>
      <c r="L1058" s="297">
        <v>896.07</v>
      </c>
      <c r="M1058" s="214">
        <f t="shared" si="151"/>
        <v>0.047094535025165446</v>
      </c>
      <c r="N1058" s="164">
        <v>276.2</v>
      </c>
      <c r="O1058" s="290">
        <f t="shared" si="152"/>
        <v>13.007510573950695</v>
      </c>
      <c r="P1058" s="164">
        <f t="shared" si="153"/>
        <v>2825.6721015099265</v>
      </c>
      <c r="Q1058" s="291">
        <f t="shared" si="154"/>
        <v>780.4506344370417</v>
      </c>
      <c r="S1058" s="80"/>
      <c r="T1058" s="80"/>
    </row>
    <row r="1059" spans="1:20" ht="13.5" customHeight="1">
      <c r="A1059" s="899"/>
      <c r="B1059" s="40">
        <v>6</v>
      </c>
      <c r="C1059" s="45" t="s">
        <v>841</v>
      </c>
      <c r="D1059" s="40">
        <v>24</v>
      </c>
      <c r="E1059" s="40" t="s">
        <v>620</v>
      </c>
      <c r="F1059" s="172">
        <f t="shared" si="150"/>
        <v>50.73</v>
      </c>
      <c r="G1059" s="172">
        <v>1.174656</v>
      </c>
      <c r="H1059" s="172">
        <v>2.08</v>
      </c>
      <c r="I1059" s="172">
        <v>47.475344</v>
      </c>
      <c r="J1059" s="297">
        <v>1067.26</v>
      </c>
      <c r="K1059" s="172">
        <v>47.475344</v>
      </c>
      <c r="L1059" s="297">
        <v>1067.26</v>
      </c>
      <c r="M1059" s="214">
        <f t="shared" si="151"/>
        <v>0.04448339111369301</v>
      </c>
      <c r="N1059" s="164">
        <v>276.2</v>
      </c>
      <c r="O1059" s="290">
        <f t="shared" si="152"/>
        <v>12.286312625602008</v>
      </c>
      <c r="P1059" s="164">
        <f t="shared" si="153"/>
        <v>2669.0034668215803</v>
      </c>
      <c r="Q1059" s="291">
        <f t="shared" si="154"/>
        <v>737.1787575361204</v>
      </c>
      <c r="S1059" s="80"/>
      <c r="T1059" s="80"/>
    </row>
    <row r="1060" spans="1:20" ht="13.5" customHeight="1">
      <c r="A1060" s="899"/>
      <c r="B1060" s="40">
        <v>7</v>
      </c>
      <c r="C1060" s="45" t="s">
        <v>842</v>
      </c>
      <c r="D1060" s="40">
        <v>24</v>
      </c>
      <c r="E1060" s="40" t="s">
        <v>620</v>
      </c>
      <c r="F1060" s="172">
        <f t="shared" si="150"/>
        <v>49.470003</v>
      </c>
      <c r="G1060" s="172">
        <v>2.155284</v>
      </c>
      <c r="H1060" s="172">
        <v>1.66</v>
      </c>
      <c r="I1060" s="172">
        <v>45.654719</v>
      </c>
      <c r="J1060" s="297">
        <v>1071.29</v>
      </c>
      <c r="K1060" s="172">
        <v>45.654719</v>
      </c>
      <c r="L1060" s="297">
        <v>1071.29</v>
      </c>
      <c r="M1060" s="214">
        <f t="shared" si="151"/>
        <v>0.04261658281137694</v>
      </c>
      <c r="N1060" s="164">
        <v>276.2</v>
      </c>
      <c r="O1060" s="290">
        <f t="shared" si="152"/>
        <v>11.770700172502309</v>
      </c>
      <c r="P1060" s="164">
        <f t="shared" si="153"/>
        <v>2556.994968682616</v>
      </c>
      <c r="Q1060" s="291">
        <f t="shared" si="154"/>
        <v>706.2420103501386</v>
      </c>
      <c r="S1060" s="80"/>
      <c r="T1060" s="80"/>
    </row>
    <row r="1061" spans="1:20" ht="13.5" customHeight="1" thickBot="1">
      <c r="A1061" s="900"/>
      <c r="B1061" s="42"/>
      <c r="C1061" s="46"/>
      <c r="D1061" s="42"/>
      <c r="E1061" s="42"/>
      <c r="F1061" s="50"/>
      <c r="G1061" s="50"/>
      <c r="H1061" s="50"/>
      <c r="I1061" s="50"/>
      <c r="J1061" s="51"/>
      <c r="K1061" s="47"/>
      <c r="L1061" s="51"/>
      <c r="M1061" s="74"/>
      <c r="N1061" s="50"/>
      <c r="O1061" s="43"/>
      <c r="P1061" s="43"/>
      <c r="Q1061" s="44"/>
      <c r="S1061" s="80"/>
      <c r="T1061" s="80"/>
    </row>
    <row r="1062" spans="19:20" ht="12.75">
      <c r="S1062" s="80"/>
      <c r="T1062" s="80"/>
    </row>
    <row r="1063" spans="19:20" ht="12.75">
      <c r="S1063" s="80"/>
      <c r="T1063" s="80"/>
    </row>
    <row r="1064" spans="19:20" ht="12.75">
      <c r="S1064" s="80"/>
      <c r="T1064" s="80"/>
    </row>
    <row r="1065" spans="19:20" ht="12.75">
      <c r="S1065" s="80"/>
      <c r="T1065" s="80"/>
    </row>
    <row r="1066" spans="19:20" ht="12.75">
      <c r="S1066" s="80"/>
      <c r="T1066" s="80"/>
    </row>
    <row r="1067" spans="19:20" ht="12.75">
      <c r="S1067" s="80"/>
      <c r="T1067" s="80"/>
    </row>
    <row r="1068" spans="19:20" ht="12.75">
      <c r="S1068" s="80"/>
      <c r="T1068" s="80"/>
    </row>
    <row r="1069" spans="1:20" ht="15">
      <c r="A1069" s="907" t="s">
        <v>50</v>
      </c>
      <c r="B1069" s="907"/>
      <c r="C1069" s="907"/>
      <c r="D1069" s="907"/>
      <c r="E1069" s="907"/>
      <c r="F1069" s="907"/>
      <c r="G1069" s="907"/>
      <c r="H1069" s="907"/>
      <c r="I1069" s="907"/>
      <c r="J1069" s="907"/>
      <c r="K1069" s="907"/>
      <c r="L1069" s="907"/>
      <c r="M1069" s="907"/>
      <c r="N1069" s="907"/>
      <c r="O1069" s="907"/>
      <c r="P1069" s="907"/>
      <c r="Q1069" s="907"/>
      <c r="S1069" s="80"/>
      <c r="T1069" s="80"/>
    </row>
    <row r="1070" spans="1:20" ht="13.5" thickBot="1">
      <c r="A1070" s="894" t="s">
        <v>843</v>
      </c>
      <c r="B1070" s="894"/>
      <c r="C1070" s="894"/>
      <c r="D1070" s="894"/>
      <c r="E1070" s="894"/>
      <c r="F1070" s="894"/>
      <c r="G1070" s="894"/>
      <c r="H1070" s="894"/>
      <c r="I1070" s="894"/>
      <c r="J1070" s="894"/>
      <c r="K1070" s="894"/>
      <c r="L1070" s="894"/>
      <c r="M1070" s="894"/>
      <c r="N1070" s="894"/>
      <c r="O1070" s="894"/>
      <c r="P1070" s="894"/>
      <c r="Q1070" s="894"/>
      <c r="S1070" s="80"/>
      <c r="T1070" s="80"/>
    </row>
    <row r="1071" spans="1:20" ht="12.75" customHeight="1">
      <c r="A1071" s="885" t="s">
        <v>1</v>
      </c>
      <c r="B1071" s="908" t="s">
        <v>0</v>
      </c>
      <c r="C1071" s="880" t="s">
        <v>2</v>
      </c>
      <c r="D1071" s="880" t="s">
        <v>3</v>
      </c>
      <c r="E1071" s="880" t="s">
        <v>13</v>
      </c>
      <c r="F1071" s="911" t="s">
        <v>14</v>
      </c>
      <c r="G1071" s="912"/>
      <c r="H1071" s="912"/>
      <c r="I1071" s="913"/>
      <c r="J1071" s="880" t="s">
        <v>4</v>
      </c>
      <c r="K1071" s="880" t="s">
        <v>15</v>
      </c>
      <c r="L1071" s="880" t="s">
        <v>5</v>
      </c>
      <c r="M1071" s="880" t="s">
        <v>6</v>
      </c>
      <c r="N1071" s="880" t="s">
        <v>16</v>
      </c>
      <c r="O1071" s="892" t="s">
        <v>17</v>
      </c>
      <c r="P1071" s="880" t="s">
        <v>25</v>
      </c>
      <c r="Q1071" s="890" t="s">
        <v>26</v>
      </c>
      <c r="S1071" s="80"/>
      <c r="T1071" s="80"/>
    </row>
    <row r="1072" spans="1:20" s="2" customFormat="1" ht="33.75">
      <c r="A1072" s="886"/>
      <c r="B1072" s="909"/>
      <c r="C1072" s="888"/>
      <c r="D1072" s="881"/>
      <c r="E1072" s="881"/>
      <c r="F1072" s="36" t="s">
        <v>18</v>
      </c>
      <c r="G1072" s="36" t="s">
        <v>19</v>
      </c>
      <c r="H1072" s="36" t="s">
        <v>20</v>
      </c>
      <c r="I1072" s="36" t="s">
        <v>21</v>
      </c>
      <c r="J1072" s="881"/>
      <c r="K1072" s="881"/>
      <c r="L1072" s="881"/>
      <c r="M1072" s="881"/>
      <c r="N1072" s="881"/>
      <c r="O1072" s="893"/>
      <c r="P1072" s="881"/>
      <c r="Q1072" s="891"/>
      <c r="S1072" s="80"/>
      <c r="T1072" s="80"/>
    </row>
    <row r="1073" spans="1:20" s="3" customFormat="1" ht="13.5" customHeight="1" thickBot="1">
      <c r="A1073" s="887"/>
      <c r="B1073" s="910"/>
      <c r="C1073" s="889"/>
      <c r="D1073" s="52" t="s">
        <v>7</v>
      </c>
      <c r="E1073" s="52" t="s">
        <v>8</v>
      </c>
      <c r="F1073" s="52" t="s">
        <v>9</v>
      </c>
      <c r="G1073" s="52" t="s">
        <v>9</v>
      </c>
      <c r="H1073" s="52" t="s">
        <v>9</v>
      </c>
      <c r="I1073" s="52" t="s">
        <v>9</v>
      </c>
      <c r="J1073" s="52" t="s">
        <v>22</v>
      </c>
      <c r="K1073" s="52" t="s">
        <v>9</v>
      </c>
      <c r="L1073" s="52" t="s">
        <v>22</v>
      </c>
      <c r="M1073" s="52" t="s">
        <v>23</v>
      </c>
      <c r="N1073" s="52" t="s">
        <v>10</v>
      </c>
      <c r="O1073" s="52" t="s">
        <v>24</v>
      </c>
      <c r="P1073" s="53" t="s">
        <v>27</v>
      </c>
      <c r="Q1073" s="54" t="s">
        <v>28</v>
      </c>
      <c r="S1073" s="80"/>
      <c r="T1073" s="80"/>
    </row>
    <row r="1074" spans="1:20" ht="12.75">
      <c r="A1074" s="914" t="s">
        <v>30</v>
      </c>
      <c r="B1074" s="262">
        <v>1</v>
      </c>
      <c r="C1074" s="254" t="s">
        <v>844</v>
      </c>
      <c r="D1074" s="218">
        <v>40</v>
      </c>
      <c r="E1074" s="218">
        <v>1992</v>
      </c>
      <c r="F1074" s="389">
        <v>57.104</v>
      </c>
      <c r="G1074" s="389">
        <v>5.049</v>
      </c>
      <c r="H1074" s="389">
        <v>6.53</v>
      </c>
      <c r="I1074" s="389">
        <v>45.525</v>
      </c>
      <c r="J1074" s="399">
        <v>2235.4</v>
      </c>
      <c r="K1074" s="409">
        <v>45.525</v>
      </c>
      <c r="L1074" s="331">
        <v>2235.4</v>
      </c>
      <c r="M1074" s="268">
        <f aca="true" t="shared" si="155" ref="M1074:M1080">K1074/L1074</f>
        <v>0.02036548268766216</v>
      </c>
      <c r="N1074" s="267">
        <v>229</v>
      </c>
      <c r="O1074" s="267">
        <f aca="true" t="shared" si="156" ref="O1074:O1080">M1074*N1074</f>
        <v>4.663695535474635</v>
      </c>
      <c r="P1074" s="267">
        <f aca="true" t="shared" si="157" ref="P1074:P1080">M1074*60*1000</f>
        <v>1221.9289612597297</v>
      </c>
      <c r="Q1074" s="269">
        <f aca="true" t="shared" si="158" ref="Q1074:Q1080">P1074*N1074/1000</f>
        <v>279.8217321284781</v>
      </c>
      <c r="R1074" s="6"/>
      <c r="S1074" s="80"/>
      <c r="T1074" s="80"/>
    </row>
    <row r="1075" spans="1:20" ht="12.75">
      <c r="A1075" s="896"/>
      <c r="B1075" s="219">
        <v>2</v>
      </c>
      <c r="C1075" s="256" t="s">
        <v>845</v>
      </c>
      <c r="D1075" s="219">
        <v>40</v>
      </c>
      <c r="E1075" s="219">
        <v>1981</v>
      </c>
      <c r="F1075" s="270">
        <v>64</v>
      </c>
      <c r="G1075" s="270">
        <v>3.256452</v>
      </c>
      <c r="H1075" s="270">
        <v>6.53825</v>
      </c>
      <c r="I1075" s="270">
        <v>54.208299</v>
      </c>
      <c r="J1075" s="261">
        <v>2254.76</v>
      </c>
      <c r="K1075" s="272">
        <v>54.208299</v>
      </c>
      <c r="L1075" s="261">
        <v>2254.76</v>
      </c>
      <c r="M1075" s="272">
        <f t="shared" si="155"/>
        <v>0.024041715748017525</v>
      </c>
      <c r="N1075" s="271">
        <v>236.312</v>
      </c>
      <c r="O1075" s="271">
        <f t="shared" si="156"/>
        <v>5.6813459318455175</v>
      </c>
      <c r="P1075" s="267">
        <f t="shared" si="157"/>
        <v>1442.5029448810515</v>
      </c>
      <c r="Q1075" s="273">
        <f t="shared" si="158"/>
        <v>340.880755910731</v>
      </c>
      <c r="R1075" s="6"/>
      <c r="S1075" s="80"/>
      <c r="T1075" s="80"/>
    </row>
    <row r="1076" spans="1:20" ht="12.75">
      <c r="A1076" s="896"/>
      <c r="B1076" s="219">
        <v>3</v>
      </c>
      <c r="C1076" s="256" t="s">
        <v>846</v>
      </c>
      <c r="D1076" s="219">
        <v>40</v>
      </c>
      <c r="E1076" s="219">
        <v>1981</v>
      </c>
      <c r="F1076" s="270">
        <v>68.581</v>
      </c>
      <c r="G1076" s="270">
        <v>4.794</v>
      </c>
      <c r="H1076" s="270">
        <v>6.4</v>
      </c>
      <c r="I1076" s="270">
        <v>57.387</v>
      </c>
      <c r="J1076" s="261">
        <v>2247.63</v>
      </c>
      <c r="K1076" s="272">
        <v>57.4</v>
      </c>
      <c r="L1076" s="261">
        <v>2247.6</v>
      </c>
      <c r="M1076" s="272">
        <f t="shared" si="155"/>
        <v>0.025538352019932372</v>
      </c>
      <c r="N1076" s="271">
        <v>236.31</v>
      </c>
      <c r="O1076" s="271">
        <f t="shared" si="156"/>
        <v>6.034967965830219</v>
      </c>
      <c r="P1076" s="267">
        <f t="shared" si="157"/>
        <v>1532.3011211959424</v>
      </c>
      <c r="Q1076" s="273">
        <f t="shared" si="158"/>
        <v>362.09807794981316</v>
      </c>
      <c r="R1076" s="6"/>
      <c r="S1076" s="80"/>
      <c r="T1076" s="80"/>
    </row>
    <row r="1077" spans="1:20" ht="12.75">
      <c r="A1077" s="896"/>
      <c r="B1077" s="219">
        <v>4</v>
      </c>
      <c r="C1077" s="256" t="s">
        <v>847</v>
      </c>
      <c r="D1077" s="219">
        <v>40</v>
      </c>
      <c r="E1077" s="219">
        <v>1981</v>
      </c>
      <c r="F1077" s="270">
        <v>67.337</v>
      </c>
      <c r="G1077" s="270">
        <v>3.2385</v>
      </c>
      <c r="H1077" s="270">
        <v>6.4</v>
      </c>
      <c r="I1077" s="270">
        <v>57.698499</v>
      </c>
      <c r="J1077" s="261">
        <v>2257.25</v>
      </c>
      <c r="K1077" s="272">
        <v>57.698499</v>
      </c>
      <c r="L1077" s="261">
        <v>2257.3</v>
      </c>
      <c r="M1077" s="272">
        <f t="shared" si="155"/>
        <v>0.02556084658663004</v>
      </c>
      <c r="N1077" s="271">
        <v>236.31</v>
      </c>
      <c r="O1077" s="271">
        <f t="shared" si="156"/>
        <v>6.040283656886545</v>
      </c>
      <c r="P1077" s="267">
        <f t="shared" si="157"/>
        <v>1533.6507951978024</v>
      </c>
      <c r="Q1077" s="273">
        <f t="shared" si="158"/>
        <v>362.4170194131927</v>
      </c>
      <c r="R1077" s="6"/>
      <c r="S1077" s="80"/>
      <c r="T1077" s="80"/>
    </row>
    <row r="1078" spans="1:20" ht="12.75">
      <c r="A1078" s="896"/>
      <c r="B1078" s="262">
        <v>5</v>
      </c>
      <c r="C1078" s="256" t="s">
        <v>848</v>
      </c>
      <c r="D1078" s="219">
        <v>24</v>
      </c>
      <c r="E1078" s="219">
        <v>1986</v>
      </c>
      <c r="F1078" s="270">
        <v>43.122</v>
      </c>
      <c r="G1078" s="270">
        <v>1.428</v>
      </c>
      <c r="H1078" s="270">
        <v>3.84</v>
      </c>
      <c r="I1078" s="270">
        <v>37.854</v>
      </c>
      <c r="J1078" s="261">
        <v>1401.71</v>
      </c>
      <c r="K1078" s="272">
        <v>37.854</v>
      </c>
      <c r="L1078" s="261">
        <v>1401.7</v>
      </c>
      <c r="M1078" s="272">
        <f t="shared" si="155"/>
        <v>0.02700577869729614</v>
      </c>
      <c r="N1078" s="271">
        <v>236.31</v>
      </c>
      <c r="O1078" s="271">
        <f t="shared" si="156"/>
        <v>6.381735563958051</v>
      </c>
      <c r="P1078" s="267">
        <f t="shared" si="157"/>
        <v>1620.3467218377682</v>
      </c>
      <c r="Q1078" s="273">
        <f t="shared" si="158"/>
        <v>382.904133837483</v>
      </c>
      <c r="R1078" s="6"/>
      <c r="S1078" s="80"/>
      <c r="T1078" s="80"/>
    </row>
    <row r="1079" spans="1:20" ht="12.75">
      <c r="A1079" s="896"/>
      <c r="B1079" s="219">
        <v>6</v>
      </c>
      <c r="C1079" s="256" t="s">
        <v>849</v>
      </c>
      <c r="D1079" s="219">
        <v>40</v>
      </c>
      <c r="E1079" s="219">
        <v>1971</v>
      </c>
      <c r="F1079" s="270">
        <v>62.829</v>
      </c>
      <c r="G1079" s="270">
        <v>2.662404</v>
      </c>
      <c r="H1079" s="270">
        <v>6.4</v>
      </c>
      <c r="I1079" s="270">
        <v>53.766604</v>
      </c>
      <c r="J1079" s="261">
        <v>1943.6</v>
      </c>
      <c r="K1079" s="272">
        <v>53.8</v>
      </c>
      <c r="L1079" s="261">
        <v>1943.6</v>
      </c>
      <c r="M1079" s="272">
        <f t="shared" si="155"/>
        <v>0.02768059271455032</v>
      </c>
      <c r="N1079" s="271">
        <v>236.31</v>
      </c>
      <c r="O1079" s="271">
        <f t="shared" si="156"/>
        <v>6.541200864375386</v>
      </c>
      <c r="P1079" s="267">
        <f t="shared" si="157"/>
        <v>1660.8355628730192</v>
      </c>
      <c r="Q1079" s="273">
        <f t="shared" si="158"/>
        <v>392.4720518625232</v>
      </c>
      <c r="R1079" s="6"/>
      <c r="S1079" s="80"/>
      <c r="T1079" s="80"/>
    </row>
    <row r="1080" spans="1:20" ht="12.75">
      <c r="A1080" s="896"/>
      <c r="B1080" s="219">
        <v>7</v>
      </c>
      <c r="C1080" s="256" t="s">
        <v>850</v>
      </c>
      <c r="D1080" s="219">
        <v>30</v>
      </c>
      <c r="E1080" s="219">
        <v>1987</v>
      </c>
      <c r="F1080" s="270">
        <v>63.79</v>
      </c>
      <c r="G1080" s="270">
        <v>3.315</v>
      </c>
      <c r="H1080" s="270">
        <v>4.8</v>
      </c>
      <c r="I1080" s="270">
        <v>55.674999</v>
      </c>
      <c r="J1080" s="261">
        <v>1965</v>
      </c>
      <c r="K1080" s="272">
        <v>55.7</v>
      </c>
      <c r="L1080" s="261">
        <v>1965</v>
      </c>
      <c r="M1080" s="272">
        <f t="shared" si="155"/>
        <v>0.028346055979643767</v>
      </c>
      <c r="N1080" s="271">
        <v>236.31</v>
      </c>
      <c r="O1080" s="271">
        <f t="shared" si="156"/>
        <v>6.698456488549619</v>
      </c>
      <c r="P1080" s="267">
        <f t="shared" si="157"/>
        <v>1700.7633587786258</v>
      </c>
      <c r="Q1080" s="273">
        <f t="shared" si="158"/>
        <v>401.9073893129771</v>
      </c>
      <c r="R1080" s="6"/>
      <c r="S1080" s="80"/>
      <c r="T1080" s="80"/>
    </row>
    <row r="1081" spans="1:20" ht="13.5" thickBot="1">
      <c r="A1081" s="897"/>
      <c r="B1081" s="219">
        <v>8</v>
      </c>
      <c r="C1081" s="256"/>
      <c r="D1081" s="219"/>
      <c r="E1081" s="219"/>
      <c r="F1081" s="270"/>
      <c r="G1081" s="270"/>
      <c r="H1081" s="270"/>
      <c r="I1081" s="270"/>
      <c r="J1081" s="261"/>
      <c r="K1081" s="272"/>
      <c r="L1081" s="261"/>
      <c r="M1081" s="272"/>
      <c r="N1081" s="271"/>
      <c r="O1081" s="271"/>
      <c r="P1081" s="267"/>
      <c r="Q1081" s="273"/>
      <c r="R1081" s="6"/>
      <c r="S1081" s="80"/>
      <c r="T1081" s="80"/>
    </row>
    <row r="1082" spans="1:20" ht="12.75" customHeight="1">
      <c r="A1082" s="904" t="s">
        <v>12</v>
      </c>
      <c r="B1082" s="73">
        <v>1</v>
      </c>
      <c r="C1082" s="225" t="s">
        <v>851</v>
      </c>
      <c r="D1082" s="38">
        <v>36</v>
      </c>
      <c r="E1082" s="38">
        <v>1968</v>
      </c>
      <c r="F1082" s="394">
        <v>50.773</v>
      </c>
      <c r="G1082" s="394">
        <v>1.785</v>
      </c>
      <c r="H1082" s="394">
        <v>5.6</v>
      </c>
      <c r="I1082" s="394">
        <v>43.388</v>
      </c>
      <c r="J1082" s="334">
        <v>1464.82</v>
      </c>
      <c r="K1082" s="414">
        <v>43.4</v>
      </c>
      <c r="L1082" s="332">
        <v>1464.82</v>
      </c>
      <c r="M1082" s="213">
        <f aca="true" t="shared" si="159" ref="M1082:M1088">K1082/L1082</f>
        <v>0.029628213705438212</v>
      </c>
      <c r="N1082" s="164">
        <v>236.31</v>
      </c>
      <c r="O1082" s="164">
        <f aca="true" t="shared" si="160" ref="O1082:O1088">M1082*N1082</f>
        <v>7.001443180732104</v>
      </c>
      <c r="P1082" s="164">
        <f aca="true" t="shared" si="161" ref="P1082:P1088">M1082*60*1000</f>
        <v>1777.6928223262926</v>
      </c>
      <c r="Q1082" s="285">
        <f aca="true" t="shared" si="162" ref="Q1082:Q1088">P1082*N1082/1000</f>
        <v>420.08659084392616</v>
      </c>
      <c r="R1082" s="6"/>
      <c r="S1082" s="80"/>
      <c r="T1082" s="80"/>
    </row>
    <row r="1083" spans="1:20" ht="12.75">
      <c r="A1083" s="905"/>
      <c r="B1083" s="40">
        <v>2</v>
      </c>
      <c r="C1083" s="45" t="s">
        <v>852</v>
      </c>
      <c r="D1083" s="40">
        <v>12</v>
      </c>
      <c r="E1083" s="40">
        <v>1991</v>
      </c>
      <c r="F1083" s="172">
        <v>23.928</v>
      </c>
      <c r="G1083" s="172">
        <v>0.204</v>
      </c>
      <c r="H1083" s="172">
        <v>1.92</v>
      </c>
      <c r="I1083" s="172">
        <v>21.804</v>
      </c>
      <c r="J1083" s="297">
        <v>717.08</v>
      </c>
      <c r="K1083" s="214">
        <v>21.8</v>
      </c>
      <c r="L1083" s="297">
        <v>717.1</v>
      </c>
      <c r="M1083" s="214">
        <f t="shared" si="159"/>
        <v>0.03040022312090364</v>
      </c>
      <c r="N1083" s="290">
        <v>236.31</v>
      </c>
      <c r="O1083" s="290">
        <f t="shared" si="160"/>
        <v>7.183876725700739</v>
      </c>
      <c r="P1083" s="164">
        <f t="shared" si="161"/>
        <v>1824.0133872542183</v>
      </c>
      <c r="Q1083" s="291">
        <f t="shared" si="162"/>
        <v>431.03260354204434</v>
      </c>
      <c r="R1083" s="6"/>
      <c r="S1083" s="80"/>
      <c r="T1083" s="80"/>
    </row>
    <row r="1084" spans="1:20" ht="12.75">
      <c r="A1084" s="905"/>
      <c r="B1084" s="40">
        <v>3</v>
      </c>
      <c r="C1084" s="45" t="s">
        <v>853</v>
      </c>
      <c r="D1084" s="40">
        <v>8</v>
      </c>
      <c r="E1084" s="40">
        <v>1982</v>
      </c>
      <c r="F1084" s="172">
        <v>16.343</v>
      </c>
      <c r="G1084" s="172">
        <v>1.326</v>
      </c>
      <c r="H1084" s="172">
        <v>1.28</v>
      </c>
      <c r="I1084" s="172">
        <v>13.737</v>
      </c>
      <c r="J1084" s="297">
        <v>394.56</v>
      </c>
      <c r="K1084" s="214">
        <v>13.737</v>
      </c>
      <c r="L1084" s="297">
        <v>394.56</v>
      </c>
      <c r="M1084" s="214">
        <f t="shared" si="159"/>
        <v>0.03481599756690998</v>
      </c>
      <c r="N1084" s="290">
        <v>236.31</v>
      </c>
      <c r="O1084" s="290">
        <f t="shared" si="160"/>
        <v>8.227368385036497</v>
      </c>
      <c r="P1084" s="164">
        <f t="shared" si="161"/>
        <v>2088.9598540145985</v>
      </c>
      <c r="Q1084" s="291">
        <f t="shared" si="162"/>
        <v>493.64210310218976</v>
      </c>
      <c r="R1084" s="6"/>
      <c r="S1084" s="80"/>
      <c r="T1084" s="80"/>
    </row>
    <row r="1085" spans="1:20" ht="12.75">
      <c r="A1085" s="905"/>
      <c r="B1085" s="73">
        <v>4</v>
      </c>
      <c r="C1085" s="45" t="s">
        <v>854</v>
      </c>
      <c r="D1085" s="40">
        <v>8</v>
      </c>
      <c r="E1085" s="40">
        <v>1967</v>
      </c>
      <c r="F1085" s="172">
        <v>13.66918</v>
      </c>
      <c r="G1085" s="172">
        <v>0.663</v>
      </c>
      <c r="H1085" s="172">
        <v>1.171</v>
      </c>
      <c r="I1085" s="172">
        <v>11.835</v>
      </c>
      <c r="J1085" s="297">
        <v>335.29</v>
      </c>
      <c r="K1085" s="214">
        <v>11.835</v>
      </c>
      <c r="L1085" s="297">
        <v>335.29</v>
      </c>
      <c r="M1085" s="214">
        <f t="shared" si="159"/>
        <v>0.035297801902830384</v>
      </c>
      <c r="N1085" s="290">
        <v>236.31</v>
      </c>
      <c r="O1085" s="290">
        <f t="shared" si="160"/>
        <v>8.341223567657847</v>
      </c>
      <c r="P1085" s="164">
        <f t="shared" si="161"/>
        <v>2117.868114169823</v>
      </c>
      <c r="Q1085" s="291">
        <f t="shared" si="162"/>
        <v>500.4734140594709</v>
      </c>
      <c r="S1085" s="80"/>
      <c r="T1085" s="80"/>
    </row>
    <row r="1086" spans="1:20" ht="12.75">
      <c r="A1086" s="905"/>
      <c r="B1086" s="40">
        <v>5</v>
      </c>
      <c r="C1086" s="45" t="s">
        <v>855</v>
      </c>
      <c r="D1086" s="40">
        <v>8</v>
      </c>
      <c r="E1086" s="40">
        <v>1966</v>
      </c>
      <c r="F1086" s="172">
        <v>15.7468</v>
      </c>
      <c r="G1086" s="172">
        <v>0.459</v>
      </c>
      <c r="H1086" s="172">
        <v>1.28</v>
      </c>
      <c r="I1086" s="172">
        <v>14.007799</v>
      </c>
      <c r="J1086" s="297">
        <v>393.86</v>
      </c>
      <c r="K1086" s="214">
        <v>14.007799</v>
      </c>
      <c r="L1086" s="297">
        <v>393.86</v>
      </c>
      <c r="M1086" s="214">
        <f t="shared" si="159"/>
        <v>0.03556542680140151</v>
      </c>
      <c r="N1086" s="290">
        <v>236.31</v>
      </c>
      <c r="O1086" s="290">
        <f t="shared" si="160"/>
        <v>8.404466007439192</v>
      </c>
      <c r="P1086" s="164">
        <f t="shared" si="161"/>
        <v>2133.9256080840905</v>
      </c>
      <c r="Q1086" s="291">
        <f t="shared" si="162"/>
        <v>504.2679604463514</v>
      </c>
      <c r="S1086" s="80"/>
      <c r="T1086" s="80"/>
    </row>
    <row r="1087" spans="1:20" ht="12.75">
      <c r="A1087" s="905"/>
      <c r="B1087" s="40">
        <v>6</v>
      </c>
      <c r="C1087" s="45" t="s">
        <v>856</v>
      </c>
      <c r="D1087" s="40">
        <v>8</v>
      </c>
      <c r="E1087" s="40">
        <v>1968</v>
      </c>
      <c r="F1087" s="172">
        <v>16.16</v>
      </c>
      <c r="G1087" s="172">
        <v>0.459</v>
      </c>
      <c r="H1087" s="172">
        <v>1.28</v>
      </c>
      <c r="I1087" s="172">
        <v>14.42</v>
      </c>
      <c r="J1087" s="297">
        <v>390.08</v>
      </c>
      <c r="K1087" s="214">
        <v>14.42</v>
      </c>
      <c r="L1087" s="297">
        <v>390.08</v>
      </c>
      <c r="M1087" s="214">
        <f t="shared" si="159"/>
        <v>0.036966776045939294</v>
      </c>
      <c r="N1087" s="290">
        <v>236.31</v>
      </c>
      <c r="O1087" s="290">
        <f t="shared" si="160"/>
        <v>8.735618847415914</v>
      </c>
      <c r="P1087" s="164">
        <f t="shared" si="161"/>
        <v>2218.0065627563577</v>
      </c>
      <c r="Q1087" s="291">
        <f t="shared" si="162"/>
        <v>524.1371308449549</v>
      </c>
      <c r="S1087" s="80"/>
      <c r="T1087" s="80"/>
    </row>
    <row r="1088" spans="1:20" ht="12.75">
      <c r="A1088" s="905"/>
      <c r="B1088" s="73">
        <v>7</v>
      </c>
      <c r="C1088" s="45" t="s">
        <v>857</v>
      </c>
      <c r="D1088" s="40">
        <v>8</v>
      </c>
      <c r="E1088" s="40">
        <v>1981</v>
      </c>
      <c r="F1088" s="172">
        <v>17.673</v>
      </c>
      <c r="G1088" s="172">
        <v>0.612</v>
      </c>
      <c r="H1088" s="172">
        <v>1.385</v>
      </c>
      <c r="I1088" s="172">
        <v>15.675431</v>
      </c>
      <c r="J1088" s="297">
        <v>411.28</v>
      </c>
      <c r="K1088" s="214">
        <v>15.675431</v>
      </c>
      <c r="L1088" s="297">
        <v>411.28</v>
      </c>
      <c r="M1088" s="214">
        <f t="shared" si="159"/>
        <v>0.03811376920832523</v>
      </c>
      <c r="N1088" s="290">
        <v>236.31</v>
      </c>
      <c r="O1088" s="290">
        <f t="shared" si="160"/>
        <v>9.006664801619335</v>
      </c>
      <c r="P1088" s="164">
        <f t="shared" si="161"/>
        <v>2286.826152499514</v>
      </c>
      <c r="Q1088" s="291">
        <f t="shared" si="162"/>
        <v>540.3998880971601</v>
      </c>
      <c r="S1088" s="80"/>
      <c r="T1088" s="80"/>
    </row>
    <row r="1089" spans="1:20" ht="13.5" thickBot="1">
      <c r="A1089" s="906"/>
      <c r="B1089" s="40">
        <v>8</v>
      </c>
      <c r="C1089" s="72"/>
      <c r="D1089" s="42"/>
      <c r="E1089" s="42"/>
      <c r="F1089" s="46"/>
      <c r="G1089" s="209"/>
      <c r="H1089" s="209"/>
      <c r="I1089" s="209"/>
      <c r="J1089" s="209"/>
      <c r="K1089" s="209"/>
      <c r="L1089" s="739"/>
      <c r="M1089" s="209"/>
      <c r="N1089" s="209"/>
      <c r="O1089" s="209"/>
      <c r="P1089" s="209"/>
      <c r="Q1089" s="210"/>
      <c r="S1089" s="80"/>
      <c r="T1089" s="80"/>
    </row>
    <row r="1090" spans="19:20" ht="12.75">
      <c r="S1090" s="80"/>
      <c r="T1090" s="80"/>
    </row>
    <row r="1091" spans="1:20" ht="15">
      <c r="A1091" s="907" t="s">
        <v>78</v>
      </c>
      <c r="B1091" s="907"/>
      <c r="C1091" s="907"/>
      <c r="D1091" s="907"/>
      <c r="E1091" s="907"/>
      <c r="F1091" s="907"/>
      <c r="G1091" s="907"/>
      <c r="H1091" s="907"/>
      <c r="I1091" s="907"/>
      <c r="J1091" s="907"/>
      <c r="K1091" s="907"/>
      <c r="L1091" s="907"/>
      <c r="M1091" s="907"/>
      <c r="N1091" s="907"/>
      <c r="O1091" s="907"/>
      <c r="P1091" s="907"/>
      <c r="Q1091" s="907"/>
      <c r="S1091" s="80"/>
      <c r="T1091" s="80"/>
    </row>
    <row r="1092" spans="1:20" ht="13.5" thickBot="1">
      <c r="A1092" s="894" t="s">
        <v>858</v>
      </c>
      <c r="B1092" s="894"/>
      <c r="C1092" s="894"/>
      <c r="D1092" s="894"/>
      <c r="E1092" s="894"/>
      <c r="F1092" s="894"/>
      <c r="G1092" s="894"/>
      <c r="H1092" s="894"/>
      <c r="I1092" s="894"/>
      <c r="J1092" s="894"/>
      <c r="K1092" s="894"/>
      <c r="L1092" s="894"/>
      <c r="M1092" s="894"/>
      <c r="N1092" s="894"/>
      <c r="O1092" s="894"/>
      <c r="P1092" s="894"/>
      <c r="Q1092" s="894"/>
      <c r="S1092" s="80"/>
      <c r="T1092" s="80"/>
    </row>
    <row r="1093" spans="1:20" ht="12.75" customHeight="1">
      <c r="A1093" s="885" t="s">
        <v>1</v>
      </c>
      <c r="B1093" s="908" t="s">
        <v>0</v>
      </c>
      <c r="C1093" s="880" t="s">
        <v>2</v>
      </c>
      <c r="D1093" s="880" t="s">
        <v>3</v>
      </c>
      <c r="E1093" s="880" t="s">
        <v>13</v>
      </c>
      <c r="F1093" s="911" t="s">
        <v>14</v>
      </c>
      <c r="G1093" s="912"/>
      <c r="H1093" s="912"/>
      <c r="I1093" s="913"/>
      <c r="J1093" s="880" t="s">
        <v>4</v>
      </c>
      <c r="K1093" s="880" t="s">
        <v>15</v>
      </c>
      <c r="L1093" s="880" t="s">
        <v>5</v>
      </c>
      <c r="M1093" s="880" t="s">
        <v>6</v>
      </c>
      <c r="N1093" s="880" t="s">
        <v>16</v>
      </c>
      <c r="O1093" s="892" t="s">
        <v>17</v>
      </c>
      <c r="P1093" s="880" t="s">
        <v>25</v>
      </c>
      <c r="Q1093" s="890" t="s">
        <v>26</v>
      </c>
      <c r="S1093" s="80"/>
      <c r="T1093" s="80"/>
    </row>
    <row r="1094" spans="1:20" s="2" customFormat="1" ht="33.75">
      <c r="A1094" s="886"/>
      <c r="B1094" s="909"/>
      <c r="C1094" s="888"/>
      <c r="D1094" s="881"/>
      <c r="E1094" s="881"/>
      <c r="F1094" s="36" t="s">
        <v>18</v>
      </c>
      <c r="G1094" s="36" t="s">
        <v>19</v>
      </c>
      <c r="H1094" s="36" t="s">
        <v>20</v>
      </c>
      <c r="I1094" s="36" t="s">
        <v>21</v>
      </c>
      <c r="J1094" s="881"/>
      <c r="K1094" s="881"/>
      <c r="L1094" s="881"/>
      <c r="M1094" s="881"/>
      <c r="N1094" s="881"/>
      <c r="O1094" s="893"/>
      <c r="P1094" s="881"/>
      <c r="Q1094" s="891"/>
      <c r="S1094" s="80"/>
      <c r="T1094" s="80"/>
    </row>
    <row r="1095" spans="1:20" s="3" customFormat="1" ht="13.5" customHeight="1" thickBot="1">
      <c r="A1095" s="887"/>
      <c r="B1095" s="910"/>
      <c r="C1095" s="889"/>
      <c r="D1095" s="52" t="s">
        <v>7</v>
      </c>
      <c r="E1095" s="52" t="s">
        <v>8</v>
      </c>
      <c r="F1095" s="52" t="s">
        <v>9</v>
      </c>
      <c r="G1095" s="52" t="s">
        <v>9</v>
      </c>
      <c r="H1095" s="52" t="s">
        <v>9</v>
      </c>
      <c r="I1095" s="52" t="s">
        <v>9</v>
      </c>
      <c r="J1095" s="52" t="s">
        <v>22</v>
      </c>
      <c r="K1095" s="52" t="s">
        <v>9</v>
      </c>
      <c r="L1095" s="52" t="s">
        <v>22</v>
      </c>
      <c r="M1095" s="52" t="s">
        <v>69</v>
      </c>
      <c r="N1095" s="52" t="s">
        <v>10</v>
      </c>
      <c r="O1095" s="52" t="s">
        <v>70</v>
      </c>
      <c r="P1095" s="53" t="s">
        <v>27</v>
      </c>
      <c r="Q1095" s="54" t="s">
        <v>28</v>
      </c>
      <c r="S1095" s="80"/>
      <c r="T1095" s="80"/>
    </row>
    <row r="1096" spans="1:20" ht="12.75">
      <c r="A1096" s="915" t="s">
        <v>11</v>
      </c>
      <c r="B1096" s="30">
        <v>1</v>
      </c>
      <c r="C1096" s="56"/>
      <c r="D1096" s="55"/>
      <c r="E1096" s="55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627"/>
      <c r="R1096" s="6"/>
      <c r="S1096" s="80"/>
      <c r="T1096" s="80"/>
    </row>
    <row r="1097" spans="1:20" ht="12.75">
      <c r="A1097" s="916"/>
      <c r="B1097" s="31">
        <v>2</v>
      </c>
      <c r="C1097" s="16"/>
      <c r="D1097" s="31"/>
      <c r="E1097" s="31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628"/>
      <c r="S1097" s="80"/>
      <c r="T1097" s="80"/>
    </row>
    <row r="1098" spans="1:20" ht="12.75">
      <c r="A1098" s="916"/>
      <c r="B1098" s="31">
        <v>3</v>
      </c>
      <c r="C1098" s="16"/>
      <c r="D1098" s="31"/>
      <c r="E1098" s="31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628"/>
      <c r="S1098" s="80"/>
      <c r="T1098" s="80"/>
    </row>
    <row r="1099" spans="1:20" ht="12.75">
      <c r="A1099" s="916"/>
      <c r="B1099" s="31">
        <v>4</v>
      </c>
      <c r="C1099" s="16"/>
      <c r="D1099" s="31"/>
      <c r="E1099" s="31"/>
      <c r="F1099" s="135"/>
      <c r="G1099" s="240"/>
      <c r="H1099" s="135"/>
      <c r="I1099" s="240"/>
      <c r="J1099" s="163"/>
      <c r="K1099" s="135"/>
      <c r="L1099" s="163"/>
      <c r="M1099" s="122"/>
      <c r="N1099" s="121"/>
      <c r="O1099" s="121"/>
      <c r="P1099" s="582"/>
      <c r="Q1099" s="123"/>
      <c r="S1099" s="80"/>
      <c r="T1099" s="80"/>
    </row>
    <row r="1100" spans="1:20" ht="12.75">
      <c r="A1100" s="916"/>
      <c r="B1100" s="31">
        <v>5</v>
      </c>
      <c r="C1100" s="16"/>
      <c r="D1100" s="31"/>
      <c r="E1100" s="31"/>
      <c r="F1100" s="135"/>
      <c r="G1100" s="135"/>
      <c r="H1100" s="135"/>
      <c r="I1100" s="135"/>
      <c r="J1100" s="163"/>
      <c r="K1100" s="135"/>
      <c r="L1100" s="163"/>
      <c r="M1100" s="122"/>
      <c r="N1100" s="121"/>
      <c r="O1100" s="121"/>
      <c r="P1100" s="582"/>
      <c r="Q1100" s="123"/>
      <c r="S1100" s="80"/>
      <c r="T1100" s="80"/>
    </row>
    <row r="1101" spans="1:20" ht="12.75">
      <c r="A1101" s="916"/>
      <c r="B1101" s="31">
        <v>6</v>
      </c>
      <c r="C1101" s="192"/>
      <c r="D1101" s="191"/>
      <c r="E1101" s="191"/>
      <c r="F1101" s="348"/>
      <c r="G1101" s="348"/>
      <c r="H1101" s="348"/>
      <c r="I1101" s="348"/>
      <c r="J1101" s="350"/>
      <c r="K1101" s="348"/>
      <c r="L1101" s="350"/>
      <c r="M1101" s="143"/>
      <c r="N1101" s="144"/>
      <c r="O1101" s="193"/>
      <c r="P1101" s="437"/>
      <c r="Q1101" s="145"/>
      <c r="S1101" s="80"/>
      <c r="T1101" s="80"/>
    </row>
    <row r="1102" spans="1:20" ht="13.5" thickBot="1">
      <c r="A1102" s="916"/>
      <c r="B1102" s="31">
        <v>7</v>
      </c>
      <c r="C1102" s="630"/>
      <c r="D1102" s="221"/>
      <c r="E1102" s="221"/>
      <c r="F1102" s="349"/>
      <c r="G1102" s="349"/>
      <c r="H1102" s="349"/>
      <c r="I1102" s="349"/>
      <c r="J1102" s="479"/>
      <c r="K1102" s="349"/>
      <c r="L1102" s="479"/>
      <c r="M1102" s="357"/>
      <c r="N1102" s="343"/>
      <c r="O1102" s="631"/>
      <c r="P1102" s="503"/>
      <c r="Q1102" s="345"/>
      <c r="S1102" s="80"/>
      <c r="T1102" s="80"/>
    </row>
    <row r="1103" spans="1:20" ht="11.25" customHeight="1">
      <c r="A1103" s="882" t="s">
        <v>29</v>
      </c>
      <c r="B1103" s="118">
        <v>1</v>
      </c>
      <c r="C1103" s="81"/>
      <c r="D1103" s="60"/>
      <c r="E1103" s="60"/>
      <c r="F1103" s="252"/>
      <c r="G1103" s="252"/>
      <c r="H1103" s="252"/>
      <c r="I1103" s="252"/>
      <c r="J1103" s="113"/>
      <c r="K1103" s="252"/>
      <c r="L1103" s="113"/>
      <c r="M1103" s="136"/>
      <c r="N1103" s="137"/>
      <c r="O1103" s="137"/>
      <c r="P1103" s="629"/>
      <c r="Q1103" s="157"/>
      <c r="S1103" s="80"/>
      <c r="T1103" s="80"/>
    </row>
    <row r="1104" spans="1:20" ht="12.75" customHeight="1">
      <c r="A1104" s="883"/>
      <c r="B1104" s="119">
        <v>2</v>
      </c>
      <c r="C1104" s="34"/>
      <c r="D1104" s="35"/>
      <c r="E1104" s="35"/>
      <c r="F1104" s="248"/>
      <c r="G1104" s="248"/>
      <c r="H1104" s="248"/>
      <c r="I1104" s="248"/>
      <c r="J1104" s="110"/>
      <c r="K1104" s="248"/>
      <c r="L1104" s="110"/>
      <c r="M1104" s="128"/>
      <c r="N1104" s="127"/>
      <c r="O1104" s="127"/>
      <c r="P1104" s="587"/>
      <c r="Q1104" s="155"/>
      <c r="S1104" s="80"/>
      <c r="T1104" s="80"/>
    </row>
    <row r="1105" spans="1:20" ht="12.75" customHeight="1">
      <c r="A1105" s="883"/>
      <c r="B1105" s="119">
        <v>3</v>
      </c>
      <c r="C1105" s="34"/>
      <c r="D1105" s="35"/>
      <c r="E1105" s="35"/>
      <c r="F1105" s="248"/>
      <c r="G1105" s="248"/>
      <c r="H1105" s="248"/>
      <c r="I1105" s="248"/>
      <c r="J1105" s="110"/>
      <c r="K1105" s="248"/>
      <c r="L1105" s="110"/>
      <c r="M1105" s="128"/>
      <c r="N1105" s="127"/>
      <c r="O1105" s="127"/>
      <c r="P1105" s="587"/>
      <c r="Q1105" s="155"/>
      <c r="S1105" s="80"/>
      <c r="T1105" s="80"/>
    </row>
    <row r="1106" spans="1:20" ht="12.75" customHeight="1">
      <c r="A1106" s="883"/>
      <c r="B1106" s="119">
        <v>4</v>
      </c>
      <c r="C1106" s="34"/>
      <c r="D1106" s="35"/>
      <c r="E1106" s="35"/>
      <c r="F1106" s="248"/>
      <c r="G1106" s="248"/>
      <c r="H1106" s="248"/>
      <c r="I1106" s="248"/>
      <c r="J1106" s="110"/>
      <c r="K1106" s="248"/>
      <c r="L1106" s="110"/>
      <c r="M1106" s="128"/>
      <c r="N1106" s="127"/>
      <c r="O1106" s="127"/>
      <c r="P1106" s="127"/>
      <c r="Q1106" s="155"/>
      <c r="S1106" s="80"/>
      <c r="T1106" s="80"/>
    </row>
    <row r="1107" spans="1:20" ht="12.75" customHeight="1">
      <c r="A1107" s="883"/>
      <c r="B1107" s="119">
        <v>5</v>
      </c>
      <c r="C1107" s="34"/>
      <c r="D1107" s="35"/>
      <c r="E1107" s="35"/>
      <c r="F1107" s="248"/>
      <c r="G1107" s="248"/>
      <c r="H1107" s="248"/>
      <c r="I1107" s="248"/>
      <c r="J1107" s="110"/>
      <c r="K1107" s="248"/>
      <c r="L1107" s="110"/>
      <c r="M1107" s="128"/>
      <c r="N1107" s="137"/>
      <c r="O1107" s="127"/>
      <c r="P1107" s="137"/>
      <c r="Q1107" s="155"/>
      <c r="S1107" s="80"/>
      <c r="T1107" s="80"/>
    </row>
    <row r="1108" spans="1:20" ht="12.75" customHeight="1">
      <c r="A1108" s="883"/>
      <c r="B1108" s="119">
        <v>6</v>
      </c>
      <c r="C1108" s="186"/>
      <c r="D1108" s="139"/>
      <c r="E1108" s="139"/>
      <c r="F1108" s="248"/>
      <c r="G1108" s="248"/>
      <c r="H1108" s="248"/>
      <c r="I1108" s="248"/>
      <c r="J1108" s="110"/>
      <c r="K1108" s="248"/>
      <c r="L1108" s="110"/>
      <c r="M1108" s="128"/>
      <c r="N1108" s="137"/>
      <c r="O1108" s="127"/>
      <c r="P1108" s="137"/>
      <c r="Q1108" s="155"/>
      <c r="S1108" s="80"/>
      <c r="T1108" s="80"/>
    </row>
    <row r="1109" spans="1:20" ht="12.75" customHeight="1" thickBot="1">
      <c r="A1109" s="884"/>
      <c r="B1109" s="37">
        <v>7</v>
      </c>
      <c r="C1109" s="174"/>
      <c r="D1109" s="35"/>
      <c r="E1109" s="35"/>
      <c r="F1109" s="248"/>
      <c r="G1109" s="248"/>
      <c r="H1109" s="248"/>
      <c r="I1109" s="248"/>
      <c r="J1109" s="110"/>
      <c r="K1109" s="248"/>
      <c r="L1109" s="171"/>
      <c r="M1109" s="205"/>
      <c r="N1109" s="158"/>
      <c r="O1109" s="158"/>
      <c r="P1109" s="158"/>
      <c r="Q1109" s="159"/>
      <c r="S1109" s="80"/>
      <c r="T1109" s="80"/>
    </row>
    <row r="1110" spans="1:20" ht="12.75">
      <c r="A1110" s="914" t="s">
        <v>30</v>
      </c>
      <c r="B1110" s="262">
        <v>1</v>
      </c>
      <c r="C1110" s="254" t="s">
        <v>859</v>
      </c>
      <c r="D1110" s="218">
        <v>13</v>
      </c>
      <c r="E1110" s="218">
        <v>1993</v>
      </c>
      <c r="F1110" s="389">
        <v>22.5</v>
      </c>
      <c r="G1110" s="389">
        <v>1.173</v>
      </c>
      <c r="H1110" s="389">
        <v>2.72</v>
      </c>
      <c r="I1110" s="389">
        <v>18.607</v>
      </c>
      <c r="J1110" s="399">
        <v>736</v>
      </c>
      <c r="K1110" s="409">
        <v>18.607</v>
      </c>
      <c r="L1110" s="331">
        <v>736</v>
      </c>
      <c r="M1110" s="268">
        <f aca="true" t="shared" si="163" ref="M1110:M1115">K1110/L1110</f>
        <v>0.025281249999999998</v>
      </c>
      <c r="N1110" s="267">
        <v>222.8</v>
      </c>
      <c r="O1110" s="267">
        <f aca="true" t="shared" si="164" ref="O1110:O1115">M1110*N1110</f>
        <v>5.6326624999999995</v>
      </c>
      <c r="P1110" s="267">
        <f aca="true" t="shared" si="165" ref="P1110:P1115">M1110*60*1000</f>
        <v>1516.875</v>
      </c>
      <c r="Q1110" s="269">
        <f aca="true" t="shared" si="166" ref="Q1110:Q1115">P1110*N1110/1000</f>
        <v>337.95975</v>
      </c>
      <c r="S1110" s="80"/>
      <c r="T1110" s="80"/>
    </row>
    <row r="1111" spans="1:20" ht="12.75">
      <c r="A1111" s="896"/>
      <c r="B1111" s="219">
        <v>2</v>
      </c>
      <c r="C1111" s="256" t="s">
        <v>860</v>
      </c>
      <c r="D1111" s="219">
        <v>27</v>
      </c>
      <c r="E1111" s="219">
        <v>1974</v>
      </c>
      <c r="F1111" s="270">
        <v>43</v>
      </c>
      <c r="G1111" s="270">
        <v>2.244</v>
      </c>
      <c r="H1111" s="270">
        <v>4.32</v>
      </c>
      <c r="I1111" s="270">
        <v>36.436</v>
      </c>
      <c r="J1111" s="261">
        <v>1417</v>
      </c>
      <c r="K1111" s="272">
        <v>36.436</v>
      </c>
      <c r="L1111" s="261">
        <v>1417</v>
      </c>
      <c r="M1111" s="272">
        <f t="shared" si="163"/>
        <v>0.02571347918136909</v>
      </c>
      <c r="N1111" s="271">
        <v>222.8</v>
      </c>
      <c r="O1111" s="271">
        <f t="shared" si="164"/>
        <v>5.728963161609034</v>
      </c>
      <c r="P1111" s="267">
        <f t="shared" si="165"/>
        <v>1542.8087508821454</v>
      </c>
      <c r="Q1111" s="273">
        <f t="shared" si="166"/>
        <v>343.737789696542</v>
      </c>
      <c r="S1111" s="80"/>
      <c r="T1111" s="80"/>
    </row>
    <row r="1112" spans="1:20" ht="12.75">
      <c r="A1112" s="896"/>
      <c r="B1112" s="219">
        <v>3</v>
      </c>
      <c r="C1112" s="256" t="s">
        <v>861</v>
      </c>
      <c r="D1112" s="219">
        <v>27</v>
      </c>
      <c r="E1112" s="219">
        <v>1999</v>
      </c>
      <c r="F1112" s="270">
        <v>43.44</v>
      </c>
      <c r="G1112" s="270">
        <v>2.295</v>
      </c>
      <c r="H1112" s="270">
        <v>4.32</v>
      </c>
      <c r="I1112" s="270">
        <v>36.825</v>
      </c>
      <c r="J1112" s="261">
        <v>1406</v>
      </c>
      <c r="K1112" s="272">
        <v>36.825</v>
      </c>
      <c r="L1112" s="261">
        <v>1406</v>
      </c>
      <c r="M1112" s="272">
        <f t="shared" si="163"/>
        <v>0.02619132290184922</v>
      </c>
      <c r="N1112" s="271">
        <v>222.8</v>
      </c>
      <c r="O1112" s="271">
        <f t="shared" si="164"/>
        <v>5.8354267425320065</v>
      </c>
      <c r="P1112" s="267">
        <f t="shared" si="165"/>
        <v>1571.4793741109531</v>
      </c>
      <c r="Q1112" s="273">
        <f t="shared" si="166"/>
        <v>350.1256045519204</v>
      </c>
      <c r="S1112" s="80"/>
      <c r="T1112" s="80"/>
    </row>
    <row r="1113" spans="1:20" ht="12.75">
      <c r="A1113" s="896"/>
      <c r="B1113" s="219">
        <v>4</v>
      </c>
      <c r="C1113" s="256" t="s">
        <v>862</v>
      </c>
      <c r="D1113" s="219">
        <v>40</v>
      </c>
      <c r="E1113" s="219">
        <v>1975</v>
      </c>
      <c r="F1113" s="270">
        <v>61.7</v>
      </c>
      <c r="G1113" s="270">
        <v>2.626</v>
      </c>
      <c r="H1113" s="270">
        <v>6.4</v>
      </c>
      <c r="I1113" s="270">
        <v>52.673</v>
      </c>
      <c r="J1113" s="261">
        <v>1908</v>
      </c>
      <c r="K1113" s="272">
        <v>52.673</v>
      </c>
      <c r="L1113" s="261">
        <v>1908</v>
      </c>
      <c r="M1113" s="272">
        <f t="shared" si="163"/>
        <v>0.027606394129979037</v>
      </c>
      <c r="N1113" s="271">
        <v>222.8</v>
      </c>
      <c r="O1113" s="271">
        <f t="shared" si="164"/>
        <v>6.15070461215933</v>
      </c>
      <c r="P1113" s="267">
        <f t="shared" si="165"/>
        <v>1656.3836477987422</v>
      </c>
      <c r="Q1113" s="273">
        <f t="shared" si="166"/>
        <v>369.04227672955983</v>
      </c>
      <c r="S1113" s="80"/>
      <c r="T1113" s="80"/>
    </row>
    <row r="1114" spans="1:20" ht="12.75">
      <c r="A1114" s="896"/>
      <c r="B1114" s="219">
        <v>5</v>
      </c>
      <c r="C1114" s="256" t="s">
        <v>863</v>
      </c>
      <c r="D1114" s="219">
        <v>40</v>
      </c>
      <c r="E1114" s="219">
        <v>1983</v>
      </c>
      <c r="F1114" s="270">
        <v>67.1</v>
      </c>
      <c r="G1114" s="270">
        <v>3.162</v>
      </c>
      <c r="H1114" s="270">
        <v>6.4</v>
      </c>
      <c r="I1114" s="270">
        <v>57.538</v>
      </c>
      <c r="J1114" s="261">
        <v>1992</v>
      </c>
      <c r="K1114" s="272">
        <v>57.538</v>
      </c>
      <c r="L1114" s="261">
        <v>1992</v>
      </c>
      <c r="M1114" s="272">
        <f t="shared" si="163"/>
        <v>0.02888453815261044</v>
      </c>
      <c r="N1114" s="271">
        <v>222.8</v>
      </c>
      <c r="O1114" s="271">
        <f t="shared" si="164"/>
        <v>6.435475100401606</v>
      </c>
      <c r="P1114" s="267">
        <f t="shared" si="165"/>
        <v>1733.0722891566263</v>
      </c>
      <c r="Q1114" s="273">
        <f t="shared" si="166"/>
        <v>386.12850602409634</v>
      </c>
      <c r="S1114" s="80"/>
      <c r="T1114" s="80"/>
    </row>
    <row r="1115" spans="1:20" ht="12.75">
      <c r="A1115" s="896"/>
      <c r="B1115" s="219">
        <v>6</v>
      </c>
      <c r="C1115" s="256" t="s">
        <v>864</v>
      </c>
      <c r="D1115" s="219">
        <v>12</v>
      </c>
      <c r="E1115" s="219">
        <v>2000</v>
      </c>
      <c r="F1115" s="270">
        <v>21.7</v>
      </c>
      <c r="G1115" s="270">
        <v>0.765</v>
      </c>
      <c r="H1115" s="270">
        <v>2.1</v>
      </c>
      <c r="I1115" s="270">
        <v>20.057</v>
      </c>
      <c r="J1115" s="261">
        <v>666</v>
      </c>
      <c r="K1115" s="272">
        <v>20.057</v>
      </c>
      <c r="L1115" s="261">
        <v>666</v>
      </c>
      <c r="M1115" s="272">
        <f t="shared" si="163"/>
        <v>0.030115615615615612</v>
      </c>
      <c r="N1115" s="271">
        <v>222.8</v>
      </c>
      <c r="O1115" s="271">
        <f t="shared" si="164"/>
        <v>6.709759159159159</v>
      </c>
      <c r="P1115" s="267">
        <f t="shared" si="165"/>
        <v>1806.9369369369367</v>
      </c>
      <c r="Q1115" s="273">
        <f t="shared" si="166"/>
        <v>402.5855495495495</v>
      </c>
      <c r="S1115" s="80"/>
      <c r="T1115" s="80"/>
    </row>
    <row r="1116" spans="1:20" ht="12.75">
      <c r="A1116" s="896"/>
      <c r="B1116" s="219">
        <v>7</v>
      </c>
      <c r="C1116" s="256"/>
      <c r="D1116" s="219"/>
      <c r="E1116" s="219"/>
      <c r="F1116" s="270"/>
      <c r="G1116" s="270"/>
      <c r="H1116" s="270"/>
      <c r="I1116" s="270"/>
      <c r="J1116" s="261"/>
      <c r="K1116" s="272"/>
      <c r="L1116" s="261"/>
      <c r="M1116" s="272"/>
      <c r="N1116" s="271"/>
      <c r="O1116" s="271"/>
      <c r="P1116" s="271"/>
      <c r="Q1116" s="273"/>
      <c r="S1116" s="80"/>
      <c r="T1116" s="80"/>
    </row>
    <row r="1117" spans="1:20" ht="12.75">
      <c r="A1117" s="896"/>
      <c r="B1117" s="219">
        <v>8</v>
      </c>
      <c r="C1117" s="256"/>
      <c r="D1117" s="219"/>
      <c r="E1117" s="219"/>
      <c r="F1117" s="270"/>
      <c r="G1117" s="270"/>
      <c r="H1117" s="270"/>
      <c r="I1117" s="270"/>
      <c r="J1117" s="261"/>
      <c r="K1117" s="272"/>
      <c r="L1117" s="261"/>
      <c r="M1117" s="272"/>
      <c r="N1117" s="271"/>
      <c r="O1117" s="271"/>
      <c r="P1117" s="271"/>
      <c r="Q1117" s="273"/>
      <c r="S1117" s="80"/>
      <c r="T1117" s="80"/>
    </row>
    <row r="1118" spans="1:20" ht="12.75">
      <c r="A1118" s="896"/>
      <c r="B1118" s="219">
        <v>9</v>
      </c>
      <c r="C1118" s="256"/>
      <c r="D1118" s="219"/>
      <c r="E1118" s="219"/>
      <c r="F1118" s="270"/>
      <c r="G1118" s="270"/>
      <c r="H1118" s="270"/>
      <c r="I1118" s="270"/>
      <c r="J1118" s="261"/>
      <c r="K1118" s="272"/>
      <c r="L1118" s="261"/>
      <c r="M1118" s="272"/>
      <c r="N1118" s="271"/>
      <c r="O1118" s="271"/>
      <c r="P1118" s="271"/>
      <c r="Q1118" s="273"/>
      <c r="S1118" s="80"/>
      <c r="T1118" s="80"/>
    </row>
    <row r="1119" spans="1:20" ht="13.5" thickBot="1">
      <c r="A1119" s="897"/>
      <c r="B1119" s="232">
        <v>10</v>
      </c>
      <c r="C1119" s="327"/>
      <c r="D1119" s="232"/>
      <c r="E1119" s="232"/>
      <c r="F1119" s="274"/>
      <c r="G1119" s="274"/>
      <c r="H1119" s="274"/>
      <c r="I1119" s="274"/>
      <c r="J1119" s="263"/>
      <c r="K1119" s="276"/>
      <c r="L1119" s="263"/>
      <c r="M1119" s="276"/>
      <c r="N1119" s="275"/>
      <c r="O1119" s="275"/>
      <c r="P1119" s="275"/>
      <c r="Q1119" s="277"/>
      <c r="S1119" s="80"/>
      <c r="T1119" s="80"/>
    </row>
    <row r="1120" spans="1:20" ht="12.75">
      <c r="A1120" s="904" t="s">
        <v>12</v>
      </c>
      <c r="B1120" s="73">
        <v>1</v>
      </c>
      <c r="C1120" s="225" t="s">
        <v>865</v>
      </c>
      <c r="D1120" s="38">
        <v>12</v>
      </c>
      <c r="E1120" s="38">
        <v>1986</v>
      </c>
      <c r="F1120" s="394">
        <v>27.2</v>
      </c>
      <c r="G1120" s="394">
        <v>0.663</v>
      </c>
      <c r="H1120" s="394">
        <v>1.92</v>
      </c>
      <c r="I1120" s="394">
        <v>24.617</v>
      </c>
      <c r="J1120" s="334">
        <v>540</v>
      </c>
      <c r="K1120" s="414">
        <v>24.617</v>
      </c>
      <c r="L1120" s="332">
        <v>540</v>
      </c>
      <c r="M1120" s="213">
        <f aca="true" t="shared" si="167" ref="M1120:M1125">K1120/L1120</f>
        <v>0.04558703703703704</v>
      </c>
      <c r="N1120" s="164">
        <v>222.8</v>
      </c>
      <c r="O1120" s="164">
        <f aca="true" t="shared" si="168" ref="O1120:O1125">M1120*N1120</f>
        <v>10.156791851851853</v>
      </c>
      <c r="P1120" s="164">
        <f aca="true" t="shared" si="169" ref="P1120:P1125">M1120*60*1000</f>
        <v>2735.222222222222</v>
      </c>
      <c r="Q1120" s="285">
        <f aca="true" t="shared" si="170" ref="Q1120:Q1125">P1120*N1120/1000</f>
        <v>609.4075111111111</v>
      </c>
      <c r="S1120" s="80"/>
      <c r="T1120" s="80"/>
    </row>
    <row r="1121" spans="1:20" ht="12.75">
      <c r="A1121" s="905"/>
      <c r="B1121" s="40">
        <v>2</v>
      </c>
      <c r="C1121" s="45" t="s">
        <v>866</v>
      </c>
      <c r="D1121" s="40">
        <v>12</v>
      </c>
      <c r="E1121" s="40">
        <v>1980</v>
      </c>
      <c r="F1121" s="172">
        <v>27.4</v>
      </c>
      <c r="G1121" s="172">
        <v>0.714</v>
      </c>
      <c r="H1121" s="172">
        <v>1.92</v>
      </c>
      <c r="I1121" s="172">
        <v>24.766</v>
      </c>
      <c r="J1121" s="297">
        <v>539</v>
      </c>
      <c r="K1121" s="214">
        <v>24.766</v>
      </c>
      <c r="L1121" s="297">
        <v>539</v>
      </c>
      <c r="M1121" s="214">
        <f t="shared" si="167"/>
        <v>0.045948051948051946</v>
      </c>
      <c r="N1121" s="290">
        <v>222.8</v>
      </c>
      <c r="O1121" s="290">
        <f t="shared" si="168"/>
        <v>10.237225974025975</v>
      </c>
      <c r="P1121" s="164">
        <f t="shared" si="169"/>
        <v>2756.8831168831166</v>
      </c>
      <c r="Q1121" s="291">
        <f t="shared" si="170"/>
        <v>614.2335584415584</v>
      </c>
      <c r="S1121" s="80"/>
      <c r="T1121" s="80"/>
    </row>
    <row r="1122" spans="1:20" ht="12.75">
      <c r="A1122" s="905"/>
      <c r="B1122" s="40">
        <v>3</v>
      </c>
      <c r="C1122" s="45" t="s">
        <v>867</v>
      </c>
      <c r="D1122" s="40">
        <v>6</v>
      </c>
      <c r="E1122" s="40">
        <v>1984</v>
      </c>
      <c r="F1122" s="172">
        <v>19.4</v>
      </c>
      <c r="G1122" s="172">
        <v>0.255</v>
      </c>
      <c r="H1122" s="172">
        <v>0.96</v>
      </c>
      <c r="I1122" s="172">
        <v>18.185</v>
      </c>
      <c r="J1122" s="297">
        <v>368</v>
      </c>
      <c r="K1122" s="214">
        <v>18.185</v>
      </c>
      <c r="L1122" s="297">
        <v>368</v>
      </c>
      <c r="M1122" s="214">
        <f t="shared" si="167"/>
        <v>0.049415760869565215</v>
      </c>
      <c r="N1122" s="290">
        <v>222.8</v>
      </c>
      <c r="O1122" s="290">
        <f t="shared" si="168"/>
        <v>11.00983152173913</v>
      </c>
      <c r="P1122" s="164">
        <f t="shared" si="169"/>
        <v>2964.945652173913</v>
      </c>
      <c r="Q1122" s="291">
        <f t="shared" si="170"/>
        <v>660.5898913043479</v>
      </c>
      <c r="S1122" s="80"/>
      <c r="T1122" s="80"/>
    </row>
    <row r="1123" spans="1:20" ht="12.75">
      <c r="A1123" s="905"/>
      <c r="B1123" s="40">
        <v>4</v>
      </c>
      <c r="C1123" s="45" t="s">
        <v>868</v>
      </c>
      <c r="D1123" s="40">
        <v>6</v>
      </c>
      <c r="E1123" s="40">
        <v>1981</v>
      </c>
      <c r="F1123" s="172">
        <v>20.4</v>
      </c>
      <c r="G1123" s="172">
        <v>0.561</v>
      </c>
      <c r="H1123" s="172">
        <v>0.96</v>
      </c>
      <c r="I1123" s="172">
        <v>18.879</v>
      </c>
      <c r="J1123" s="297">
        <v>372</v>
      </c>
      <c r="K1123" s="214">
        <v>18.879</v>
      </c>
      <c r="L1123" s="297">
        <v>372</v>
      </c>
      <c r="M1123" s="214">
        <f t="shared" si="167"/>
        <v>0.05075</v>
      </c>
      <c r="N1123" s="290">
        <v>222.8</v>
      </c>
      <c r="O1123" s="290">
        <f t="shared" si="168"/>
        <v>11.307100000000002</v>
      </c>
      <c r="P1123" s="164">
        <f t="shared" si="169"/>
        <v>3045.0000000000005</v>
      </c>
      <c r="Q1123" s="291">
        <f t="shared" si="170"/>
        <v>678.4260000000002</v>
      </c>
      <c r="S1123" s="80"/>
      <c r="T1123" s="80"/>
    </row>
    <row r="1124" spans="1:20" ht="12.75">
      <c r="A1124" s="905"/>
      <c r="B1124" s="40">
        <v>5</v>
      </c>
      <c r="C1124" s="45" t="s">
        <v>869</v>
      </c>
      <c r="D1124" s="40">
        <v>6</v>
      </c>
      <c r="E1124" s="40">
        <v>1982</v>
      </c>
      <c r="F1124" s="172">
        <v>16.4</v>
      </c>
      <c r="G1124" s="172">
        <v>0.714</v>
      </c>
      <c r="H1124" s="172">
        <v>0.96</v>
      </c>
      <c r="I1124" s="172">
        <v>14.726</v>
      </c>
      <c r="J1124" s="297">
        <v>269</v>
      </c>
      <c r="K1124" s="214">
        <v>14.726</v>
      </c>
      <c r="L1124" s="297">
        <v>269</v>
      </c>
      <c r="M1124" s="214">
        <f t="shared" si="167"/>
        <v>0.054743494423791825</v>
      </c>
      <c r="N1124" s="290">
        <v>222.8</v>
      </c>
      <c r="O1124" s="290">
        <f t="shared" si="168"/>
        <v>12.196850557620818</v>
      </c>
      <c r="P1124" s="164">
        <f t="shared" si="169"/>
        <v>3284.6096654275098</v>
      </c>
      <c r="Q1124" s="291">
        <f t="shared" si="170"/>
        <v>731.8110334572492</v>
      </c>
      <c r="S1124" s="80"/>
      <c r="T1124" s="80"/>
    </row>
    <row r="1125" spans="1:20" ht="12.75">
      <c r="A1125" s="905"/>
      <c r="B1125" s="40">
        <v>6</v>
      </c>
      <c r="C1125" s="45" t="s">
        <v>870</v>
      </c>
      <c r="D1125" s="40">
        <v>6</v>
      </c>
      <c r="E1125" s="40">
        <v>1984</v>
      </c>
      <c r="F1125" s="172">
        <v>17.1</v>
      </c>
      <c r="G1125" s="172">
        <v>0.255</v>
      </c>
      <c r="H1125" s="172">
        <v>0.96</v>
      </c>
      <c r="I1125" s="172">
        <v>15.885</v>
      </c>
      <c r="J1125" s="297">
        <v>281</v>
      </c>
      <c r="K1125" s="214">
        <v>15.885</v>
      </c>
      <c r="L1125" s="297">
        <v>281</v>
      </c>
      <c r="M1125" s="214">
        <f t="shared" si="167"/>
        <v>0.056530249110320285</v>
      </c>
      <c r="N1125" s="290">
        <v>222.8</v>
      </c>
      <c r="O1125" s="290">
        <f t="shared" si="168"/>
        <v>12.59493950177936</v>
      </c>
      <c r="P1125" s="164">
        <f t="shared" si="169"/>
        <v>3391.8149466192167</v>
      </c>
      <c r="Q1125" s="291">
        <f t="shared" si="170"/>
        <v>755.6963701067616</v>
      </c>
      <c r="S1125" s="80"/>
      <c r="T1125" s="80"/>
    </row>
    <row r="1126" spans="1:20" ht="13.5" customHeight="1" thickBot="1">
      <c r="A1126" s="906"/>
      <c r="B1126" s="42">
        <v>7</v>
      </c>
      <c r="C1126" s="72"/>
      <c r="D1126" s="42"/>
      <c r="E1126" s="42"/>
      <c r="F1126" s="46"/>
      <c r="G1126" s="209"/>
      <c r="H1126" s="209"/>
      <c r="I1126" s="209"/>
      <c r="J1126" s="209"/>
      <c r="K1126" s="209"/>
      <c r="L1126" s="739"/>
      <c r="M1126" s="209"/>
      <c r="N1126" s="209"/>
      <c r="O1126" s="209"/>
      <c r="P1126" s="209"/>
      <c r="Q1126" s="210"/>
      <c r="S1126" s="80"/>
      <c r="T1126" s="80"/>
    </row>
    <row r="1127" spans="19:20" ht="13.5" customHeight="1">
      <c r="S1127" s="80"/>
      <c r="T1127" s="80"/>
    </row>
    <row r="1128" spans="19:20" ht="12.75">
      <c r="S1128" s="80"/>
      <c r="T1128" s="80"/>
    </row>
    <row r="1129" spans="19:20" ht="12.75">
      <c r="S1129" s="80"/>
      <c r="T1129" s="80"/>
    </row>
    <row r="1130" spans="19:20" ht="12.75">
      <c r="S1130" s="80"/>
      <c r="T1130" s="80"/>
    </row>
    <row r="1131" spans="19:20" ht="12.75">
      <c r="S1131" s="80"/>
      <c r="T1131" s="80"/>
    </row>
    <row r="1132" spans="1:20" ht="15">
      <c r="A1132" s="907" t="s">
        <v>67</v>
      </c>
      <c r="B1132" s="907"/>
      <c r="C1132" s="907"/>
      <c r="D1132" s="907"/>
      <c r="E1132" s="907"/>
      <c r="F1132" s="907"/>
      <c r="G1132" s="907"/>
      <c r="H1132" s="907"/>
      <c r="I1132" s="907"/>
      <c r="J1132" s="907"/>
      <c r="K1132" s="907"/>
      <c r="L1132" s="907"/>
      <c r="M1132" s="907"/>
      <c r="N1132" s="907"/>
      <c r="O1132" s="907"/>
      <c r="P1132" s="907"/>
      <c r="Q1132" s="907"/>
      <c r="S1132" s="80"/>
      <c r="T1132" s="80"/>
    </row>
    <row r="1133" spans="1:20" ht="13.5" thickBot="1">
      <c r="A1133" s="894" t="s">
        <v>83</v>
      </c>
      <c r="B1133" s="894"/>
      <c r="C1133" s="894"/>
      <c r="D1133" s="894"/>
      <c r="E1133" s="894"/>
      <c r="F1133" s="894"/>
      <c r="G1133" s="894"/>
      <c r="H1133" s="894"/>
      <c r="I1133" s="894"/>
      <c r="J1133" s="894"/>
      <c r="K1133" s="894"/>
      <c r="L1133" s="894"/>
      <c r="M1133" s="894"/>
      <c r="N1133" s="894"/>
      <c r="O1133" s="894"/>
      <c r="P1133" s="894"/>
      <c r="Q1133" s="894"/>
      <c r="S1133" s="80"/>
      <c r="T1133" s="80"/>
    </row>
    <row r="1134" spans="1:20" ht="12.75" customHeight="1">
      <c r="A1134" s="885" t="s">
        <v>1</v>
      </c>
      <c r="B1134" s="908" t="s">
        <v>0</v>
      </c>
      <c r="C1134" s="880" t="s">
        <v>2</v>
      </c>
      <c r="D1134" s="880" t="s">
        <v>3</v>
      </c>
      <c r="E1134" s="880" t="s">
        <v>13</v>
      </c>
      <c r="F1134" s="911" t="s">
        <v>14</v>
      </c>
      <c r="G1134" s="912"/>
      <c r="H1134" s="912"/>
      <c r="I1134" s="913"/>
      <c r="J1134" s="880" t="s">
        <v>4</v>
      </c>
      <c r="K1134" s="880" t="s">
        <v>15</v>
      </c>
      <c r="L1134" s="880" t="s">
        <v>5</v>
      </c>
      <c r="M1134" s="880" t="s">
        <v>6</v>
      </c>
      <c r="N1134" s="880" t="s">
        <v>16</v>
      </c>
      <c r="O1134" s="892" t="s">
        <v>17</v>
      </c>
      <c r="P1134" s="880" t="s">
        <v>25</v>
      </c>
      <c r="Q1134" s="890" t="s">
        <v>26</v>
      </c>
      <c r="S1134" s="80"/>
      <c r="T1134" s="80"/>
    </row>
    <row r="1135" spans="1:20" s="2" customFormat="1" ht="33.75">
      <c r="A1135" s="886"/>
      <c r="B1135" s="909"/>
      <c r="C1135" s="888"/>
      <c r="D1135" s="881"/>
      <c r="E1135" s="881"/>
      <c r="F1135" s="36" t="s">
        <v>18</v>
      </c>
      <c r="G1135" s="36" t="s">
        <v>19</v>
      </c>
      <c r="H1135" s="36" t="s">
        <v>20</v>
      </c>
      <c r="I1135" s="36" t="s">
        <v>21</v>
      </c>
      <c r="J1135" s="881"/>
      <c r="K1135" s="881"/>
      <c r="L1135" s="881"/>
      <c r="M1135" s="881"/>
      <c r="N1135" s="881"/>
      <c r="O1135" s="893"/>
      <c r="P1135" s="881"/>
      <c r="Q1135" s="891"/>
      <c r="S1135" s="80"/>
      <c r="T1135" s="80"/>
    </row>
    <row r="1136" spans="1:20" s="3" customFormat="1" ht="13.5" customHeight="1" thickBot="1">
      <c r="A1136" s="887"/>
      <c r="B1136" s="910"/>
      <c r="C1136" s="889"/>
      <c r="D1136" s="52" t="s">
        <v>7</v>
      </c>
      <c r="E1136" s="52" t="s">
        <v>8</v>
      </c>
      <c r="F1136" s="52" t="s">
        <v>9</v>
      </c>
      <c r="G1136" s="52" t="s">
        <v>9</v>
      </c>
      <c r="H1136" s="52" t="s">
        <v>9</v>
      </c>
      <c r="I1136" s="52" t="s">
        <v>9</v>
      </c>
      <c r="J1136" s="52" t="s">
        <v>22</v>
      </c>
      <c r="K1136" s="52" t="s">
        <v>9</v>
      </c>
      <c r="L1136" s="52" t="s">
        <v>22</v>
      </c>
      <c r="M1136" s="52" t="s">
        <v>69</v>
      </c>
      <c r="N1136" s="52" t="s">
        <v>10</v>
      </c>
      <c r="O1136" s="52" t="s">
        <v>70</v>
      </c>
      <c r="P1136" s="53" t="s">
        <v>27</v>
      </c>
      <c r="Q1136" s="54" t="s">
        <v>28</v>
      </c>
      <c r="S1136" s="80"/>
      <c r="T1136" s="80"/>
    </row>
    <row r="1137" spans="1:20" s="3" customFormat="1" ht="13.5" customHeight="1">
      <c r="A1137" s="1038" t="s">
        <v>51</v>
      </c>
      <c r="B1137" s="318">
        <v>1</v>
      </c>
      <c r="C1137" s="56"/>
      <c r="D1137" s="55"/>
      <c r="E1137" s="55"/>
      <c r="F1137" s="235"/>
      <c r="G1137" s="235"/>
      <c r="H1137" s="235"/>
      <c r="I1137" s="235"/>
      <c r="J1137" s="86"/>
      <c r="K1137" s="235"/>
      <c r="L1137" s="86"/>
      <c r="M1137" s="237"/>
      <c r="N1137" s="236"/>
      <c r="O1137" s="238"/>
      <c r="P1137" s="238"/>
      <c r="Q1137" s="239"/>
      <c r="S1137" s="80"/>
      <c r="T1137" s="80"/>
    </row>
    <row r="1138" spans="1:20" s="3" customFormat="1" ht="13.5" customHeight="1">
      <c r="A1138" s="1032"/>
      <c r="B1138" s="115"/>
      <c r="C1138" s="242"/>
      <c r="D1138" s="243"/>
      <c r="E1138" s="243"/>
      <c r="F1138" s="339"/>
      <c r="G1138" s="339"/>
      <c r="H1138" s="339"/>
      <c r="I1138" s="339"/>
      <c r="J1138" s="341"/>
      <c r="K1138" s="339"/>
      <c r="L1138" s="341"/>
      <c r="M1138" s="243"/>
      <c r="N1138" s="243"/>
      <c r="O1138" s="243"/>
      <c r="P1138" s="243"/>
      <c r="Q1138" s="321"/>
      <c r="S1138" s="80"/>
      <c r="T1138" s="80"/>
    </row>
    <row r="1139" spans="1:20" s="3" customFormat="1" ht="13.5" customHeight="1">
      <c r="A1139" s="1032"/>
      <c r="B1139" s="115"/>
      <c r="C1139" s="242"/>
      <c r="D1139" s="243"/>
      <c r="E1139" s="243"/>
      <c r="F1139" s="339"/>
      <c r="G1139" s="339"/>
      <c r="H1139" s="339"/>
      <c r="I1139" s="339"/>
      <c r="J1139" s="341"/>
      <c r="K1139" s="339"/>
      <c r="L1139" s="341"/>
      <c r="M1139" s="243"/>
      <c r="N1139" s="243"/>
      <c r="O1139" s="243"/>
      <c r="P1139" s="243"/>
      <c r="Q1139" s="321"/>
      <c r="S1139" s="80"/>
      <c r="T1139" s="80"/>
    </row>
    <row r="1140" spans="1:20" s="3" customFormat="1" ht="13.5" customHeight="1">
      <c r="A1140" s="1032"/>
      <c r="B1140" s="115"/>
      <c r="C1140" s="242"/>
      <c r="D1140" s="243"/>
      <c r="E1140" s="243"/>
      <c r="F1140" s="339"/>
      <c r="G1140" s="339"/>
      <c r="H1140" s="339"/>
      <c r="I1140" s="339"/>
      <c r="J1140" s="341"/>
      <c r="K1140" s="339"/>
      <c r="L1140" s="341"/>
      <c r="M1140" s="243"/>
      <c r="N1140" s="243"/>
      <c r="O1140" s="243"/>
      <c r="P1140" s="243"/>
      <c r="Q1140" s="321"/>
      <c r="S1140" s="80"/>
      <c r="T1140" s="80"/>
    </row>
    <row r="1141" spans="1:20" s="3" customFormat="1" ht="13.5" customHeight="1">
      <c r="A1141" s="1032"/>
      <c r="B1141" s="115"/>
      <c r="C1141" s="242"/>
      <c r="D1141" s="243"/>
      <c r="E1141" s="243"/>
      <c r="F1141" s="339"/>
      <c r="G1141" s="339"/>
      <c r="H1141" s="339"/>
      <c r="I1141" s="339"/>
      <c r="J1141" s="341"/>
      <c r="K1141" s="339"/>
      <c r="L1141" s="341"/>
      <c r="M1141" s="243"/>
      <c r="N1141" s="243"/>
      <c r="O1141" s="243"/>
      <c r="P1141" s="243"/>
      <c r="Q1141" s="321"/>
      <c r="S1141" s="80"/>
      <c r="T1141" s="80"/>
    </row>
    <row r="1142" spans="1:20" s="3" customFormat="1" ht="13.5" customHeight="1" thickBot="1">
      <c r="A1142" s="1033"/>
      <c r="B1142" s="160"/>
      <c r="C1142" s="319"/>
      <c r="D1142" s="320"/>
      <c r="E1142" s="320"/>
      <c r="F1142" s="340"/>
      <c r="G1142" s="340"/>
      <c r="H1142" s="340"/>
      <c r="I1142" s="340"/>
      <c r="J1142" s="342"/>
      <c r="K1142" s="340"/>
      <c r="L1142" s="342"/>
      <c r="M1142" s="320"/>
      <c r="N1142" s="320"/>
      <c r="O1142" s="320"/>
      <c r="P1142" s="320"/>
      <c r="Q1142" s="322"/>
      <c r="S1142" s="80"/>
      <c r="T1142" s="80"/>
    </row>
    <row r="1143" spans="1:20" ht="12.75" customHeight="1">
      <c r="A1143" s="904" t="s">
        <v>12</v>
      </c>
      <c r="B1143" s="73">
        <v>1</v>
      </c>
      <c r="C1143" s="840" t="s">
        <v>871</v>
      </c>
      <c r="D1143" s="596">
        <v>60</v>
      </c>
      <c r="E1143" s="596">
        <v>1987</v>
      </c>
      <c r="F1143" s="422">
        <f aca="true" t="shared" si="171" ref="F1143:F1152">G1143+H1143+I1143</f>
        <v>69.02000028</v>
      </c>
      <c r="G1143" s="422">
        <f>59.821*53.68/1000</f>
        <v>3.21119128</v>
      </c>
      <c r="H1143" s="422">
        <v>10.2</v>
      </c>
      <c r="I1143" s="422">
        <v>55.608809</v>
      </c>
      <c r="J1143" s="842">
        <v>2329.24</v>
      </c>
      <c r="K1143" s="710">
        <f aca="true" t="shared" si="172" ref="K1143:K1152">I1143</f>
        <v>55.608809</v>
      </c>
      <c r="L1143" s="843">
        <f aca="true" t="shared" si="173" ref="L1143:L1152">J1143</f>
        <v>2329.24</v>
      </c>
      <c r="M1143" s="651">
        <f aca="true" t="shared" si="174" ref="M1143:M1152">K1143/L1143</f>
        <v>0.02387422893304254</v>
      </c>
      <c r="N1143" s="652">
        <v>358.17</v>
      </c>
      <c r="O1143" s="652">
        <f aca="true" t="shared" si="175" ref="O1143:O1152">M1143*N1143</f>
        <v>8.551032576947847</v>
      </c>
      <c r="P1143" s="652">
        <f aca="true" t="shared" si="176" ref="P1143:P1152">M1143*60*1000</f>
        <v>1432.4537359825524</v>
      </c>
      <c r="Q1143" s="285">
        <f aca="true" t="shared" si="177" ref="Q1143:Q1152">P1143*N1143/1000</f>
        <v>513.0619546168708</v>
      </c>
      <c r="R1143" s="6"/>
      <c r="S1143" s="80"/>
      <c r="T1143" s="80"/>
    </row>
    <row r="1144" spans="1:20" ht="12.75" customHeight="1">
      <c r="A1144" s="905"/>
      <c r="B1144" s="40">
        <v>2</v>
      </c>
      <c r="C1144" s="45" t="s">
        <v>872</v>
      </c>
      <c r="D1144" s="40">
        <v>50</v>
      </c>
      <c r="E1144" s="40">
        <v>1972</v>
      </c>
      <c r="F1144" s="295">
        <f t="shared" si="171"/>
        <v>72.2810032</v>
      </c>
      <c r="G1144" s="295">
        <f>55.64*53.68/1000</f>
        <v>2.9867552</v>
      </c>
      <c r="H1144" s="295">
        <v>8</v>
      </c>
      <c r="I1144" s="295">
        <v>61.294248</v>
      </c>
      <c r="J1144" s="297">
        <v>2563.12</v>
      </c>
      <c r="K1144" s="290">
        <f t="shared" si="172"/>
        <v>61.294248</v>
      </c>
      <c r="L1144" s="297">
        <f t="shared" si="173"/>
        <v>2563.12</v>
      </c>
      <c r="M1144" s="289">
        <f t="shared" si="174"/>
        <v>0.023913920534348765</v>
      </c>
      <c r="N1144" s="290">
        <f aca="true" t="shared" si="178" ref="N1144:N1152">N1143</f>
        <v>358.17</v>
      </c>
      <c r="O1144" s="290">
        <f t="shared" si="175"/>
        <v>8.565248917787697</v>
      </c>
      <c r="P1144" s="290">
        <f t="shared" si="176"/>
        <v>1434.8352320609258</v>
      </c>
      <c r="Q1144" s="291">
        <f t="shared" si="177"/>
        <v>513.9149350672618</v>
      </c>
      <c r="R1144" s="6"/>
      <c r="S1144" s="80"/>
      <c r="T1144" s="80"/>
    </row>
    <row r="1145" spans="1:20" ht="12.75">
      <c r="A1145" s="905"/>
      <c r="B1145" s="40">
        <v>3</v>
      </c>
      <c r="C1145" s="45" t="s">
        <v>873</v>
      </c>
      <c r="D1145" s="40">
        <v>20</v>
      </c>
      <c r="E1145" s="40">
        <v>1989</v>
      </c>
      <c r="F1145" s="295">
        <f t="shared" si="171"/>
        <v>30.68149992</v>
      </c>
      <c r="G1145" s="295">
        <f>34.794*53.68/1000</f>
        <v>1.8677419199999998</v>
      </c>
      <c r="H1145" s="295">
        <v>3.425</v>
      </c>
      <c r="I1145" s="295">
        <v>25.388758</v>
      </c>
      <c r="J1145" s="297">
        <v>1048.7</v>
      </c>
      <c r="K1145" s="290">
        <f t="shared" si="172"/>
        <v>25.388758</v>
      </c>
      <c r="L1145" s="297">
        <f t="shared" si="173"/>
        <v>1048.7</v>
      </c>
      <c r="M1145" s="289">
        <f t="shared" si="174"/>
        <v>0.024209743491942402</v>
      </c>
      <c r="N1145" s="290">
        <f t="shared" si="178"/>
        <v>358.17</v>
      </c>
      <c r="O1145" s="290">
        <f t="shared" si="175"/>
        <v>8.67120382650901</v>
      </c>
      <c r="P1145" s="290">
        <f t="shared" si="176"/>
        <v>1452.5846095165443</v>
      </c>
      <c r="Q1145" s="291">
        <f t="shared" si="177"/>
        <v>520.2722295905407</v>
      </c>
      <c r="R1145" s="6"/>
      <c r="S1145" s="80"/>
      <c r="T1145" s="80"/>
    </row>
    <row r="1146" spans="1:20" ht="12.75">
      <c r="A1146" s="905"/>
      <c r="B1146" s="40">
        <v>4</v>
      </c>
      <c r="C1146" s="45" t="s">
        <v>874</v>
      </c>
      <c r="D1146" s="40">
        <v>30</v>
      </c>
      <c r="E1146" s="40">
        <v>1990</v>
      </c>
      <c r="F1146" s="295">
        <f t="shared" si="171"/>
        <v>47.97699824</v>
      </c>
      <c r="G1146" s="295">
        <f>56.018*53.68/1000</f>
        <v>3.00704624</v>
      </c>
      <c r="H1146" s="295">
        <v>5.1</v>
      </c>
      <c r="I1146" s="295">
        <v>39.869952</v>
      </c>
      <c r="J1146" s="297">
        <v>1607.03</v>
      </c>
      <c r="K1146" s="290">
        <f t="shared" si="172"/>
        <v>39.869952</v>
      </c>
      <c r="L1146" s="297">
        <f t="shared" si="173"/>
        <v>1607.03</v>
      </c>
      <c r="M1146" s="289">
        <f t="shared" si="174"/>
        <v>0.024809712326465592</v>
      </c>
      <c r="N1146" s="290">
        <f t="shared" si="178"/>
        <v>358.17</v>
      </c>
      <c r="O1146" s="290">
        <f t="shared" si="175"/>
        <v>8.886094663970182</v>
      </c>
      <c r="P1146" s="290">
        <f t="shared" si="176"/>
        <v>1488.5827395879355</v>
      </c>
      <c r="Q1146" s="291">
        <f t="shared" si="177"/>
        <v>533.165679838211</v>
      </c>
      <c r="R1146" s="6"/>
      <c r="S1146" s="80"/>
      <c r="T1146" s="80"/>
    </row>
    <row r="1147" spans="1:20" ht="12.75">
      <c r="A1147" s="905"/>
      <c r="B1147" s="40">
        <v>5</v>
      </c>
      <c r="C1147" s="45" t="s">
        <v>875</v>
      </c>
      <c r="D1147" s="40">
        <v>44</v>
      </c>
      <c r="E1147" s="40">
        <v>1965</v>
      </c>
      <c r="F1147" s="295">
        <f t="shared" si="171"/>
        <v>57.634001</v>
      </c>
      <c r="G1147" s="295">
        <f>60.45*53.68/1000</f>
        <v>3.244956</v>
      </c>
      <c r="H1147" s="295">
        <v>7.04</v>
      </c>
      <c r="I1147" s="295">
        <v>47.349045</v>
      </c>
      <c r="J1147" s="297">
        <v>1832.41</v>
      </c>
      <c r="K1147" s="290">
        <f t="shared" si="172"/>
        <v>47.349045</v>
      </c>
      <c r="L1147" s="297">
        <f t="shared" si="173"/>
        <v>1832.41</v>
      </c>
      <c r="M1147" s="289">
        <f t="shared" si="174"/>
        <v>0.025839765663797948</v>
      </c>
      <c r="N1147" s="290">
        <f t="shared" si="178"/>
        <v>358.17</v>
      </c>
      <c r="O1147" s="290">
        <f t="shared" si="175"/>
        <v>9.255028867802512</v>
      </c>
      <c r="P1147" s="290">
        <f t="shared" si="176"/>
        <v>1550.3859398278767</v>
      </c>
      <c r="Q1147" s="291">
        <f t="shared" si="177"/>
        <v>555.3017320681506</v>
      </c>
      <c r="R1147" s="6"/>
      <c r="S1147" s="80"/>
      <c r="T1147" s="80"/>
    </row>
    <row r="1148" spans="1:20" ht="12.75">
      <c r="A1148" s="905"/>
      <c r="B1148" s="40">
        <v>6</v>
      </c>
      <c r="C1148" s="45" t="s">
        <v>876</v>
      </c>
      <c r="D1148" s="40">
        <v>44</v>
      </c>
      <c r="E1148" s="40">
        <v>1966</v>
      </c>
      <c r="F1148" s="295">
        <f t="shared" si="171"/>
        <v>58.1750014</v>
      </c>
      <c r="G1148" s="295">
        <f>48.58*53.68/1000</f>
        <v>2.6077744</v>
      </c>
      <c r="H1148" s="295">
        <v>7.04</v>
      </c>
      <c r="I1148" s="295">
        <v>48.527227</v>
      </c>
      <c r="J1148" s="297">
        <v>1849.19</v>
      </c>
      <c r="K1148" s="290">
        <f t="shared" si="172"/>
        <v>48.527227</v>
      </c>
      <c r="L1148" s="297">
        <f t="shared" si="173"/>
        <v>1849.19</v>
      </c>
      <c r="M1148" s="289">
        <f t="shared" si="174"/>
        <v>0.026242423439451868</v>
      </c>
      <c r="N1148" s="290">
        <f t="shared" si="178"/>
        <v>358.17</v>
      </c>
      <c r="O1148" s="290">
        <f t="shared" si="175"/>
        <v>9.399248803308476</v>
      </c>
      <c r="P1148" s="290">
        <f t="shared" si="176"/>
        <v>1574.545406367112</v>
      </c>
      <c r="Q1148" s="291">
        <f t="shared" si="177"/>
        <v>563.9549281985086</v>
      </c>
      <c r="R1148" s="6"/>
      <c r="S1148" s="80"/>
      <c r="T1148" s="80"/>
    </row>
    <row r="1149" spans="1:20" ht="12.75">
      <c r="A1149" s="905"/>
      <c r="B1149" s="40">
        <v>7</v>
      </c>
      <c r="C1149" s="45" t="s">
        <v>877</v>
      </c>
      <c r="D1149" s="40">
        <v>22</v>
      </c>
      <c r="E1149" s="40">
        <v>1985</v>
      </c>
      <c r="F1149" s="295">
        <f t="shared" si="171"/>
        <v>38.429001</v>
      </c>
      <c r="G1149" s="295">
        <f>58.65*53.68/1000</f>
        <v>3.148332</v>
      </c>
      <c r="H1149" s="295">
        <v>3.74</v>
      </c>
      <c r="I1149" s="295">
        <v>31.540669</v>
      </c>
      <c r="J1149" s="297">
        <v>1124.8</v>
      </c>
      <c r="K1149" s="290">
        <f t="shared" si="172"/>
        <v>31.540669</v>
      </c>
      <c r="L1149" s="297">
        <f t="shared" si="173"/>
        <v>1124.8</v>
      </c>
      <c r="M1149" s="289">
        <f t="shared" si="174"/>
        <v>0.028041135312944526</v>
      </c>
      <c r="N1149" s="290">
        <f t="shared" si="178"/>
        <v>358.17</v>
      </c>
      <c r="O1149" s="290">
        <f t="shared" si="175"/>
        <v>10.043493435037341</v>
      </c>
      <c r="P1149" s="290">
        <f t="shared" si="176"/>
        <v>1682.4681187766716</v>
      </c>
      <c r="Q1149" s="291">
        <f t="shared" si="177"/>
        <v>602.6096061022405</v>
      </c>
      <c r="S1149" s="80"/>
      <c r="T1149" s="80"/>
    </row>
    <row r="1150" spans="1:20" ht="12.75">
      <c r="A1150" s="905"/>
      <c r="B1150" s="40">
        <v>8</v>
      </c>
      <c r="C1150" s="45" t="s">
        <v>878</v>
      </c>
      <c r="D1150" s="40">
        <v>9</v>
      </c>
      <c r="E1150" s="40">
        <v>1992</v>
      </c>
      <c r="F1150" s="295">
        <f t="shared" si="171"/>
        <v>16.495999679999997</v>
      </c>
      <c r="G1150" s="295">
        <f>17.051*53.68/1000</f>
        <v>0.9152976799999999</v>
      </c>
      <c r="H1150" s="295">
        <v>1.44</v>
      </c>
      <c r="I1150" s="295">
        <v>14.140702</v>
      </c>
      <c r="J1150" s="297">
        <v>464.07</v>
      </c>
      <c r="K1150" s="290">
        <f t="shared" si="172"/>
        <v>14.140702</v>
      </c>
      <c r="L1150" s="297">
        <f t="shared" si="173"/>
        <v>464.07</v>
      </c>
      <c r="M1150" s="289">
        <f t="shared" si="174"/>
        <v>0.030471053935828645</v>
      </c>
      <c r="N1150" s="290">
        <f t="shared" si="178"/>
        <v>358.17</v>
      </c>
      <c r="O1150" s="290">
        <f t="shared" si="175"/>
        <v>10.913817388195746</v>
      </c>
      <c r="P1150" s="290">
        <f t="shared" si="176"/>
        <v>1828.2632361497188</v>
      </c>
      <c r="Q1150" s="841">
        <f t="shared" si="177"/>
        <v>654.8290432917448</v>
      </c>
      <c r="S1150" s="80"/>
      <c r="T1150" s="80"/>
    </row>
    <row r="1151" spans="1:20" ht="12.75">
      <c r="A1151" s="905"/>
      <c r="B1151" s="40">
        <v>9</v>
      </c>
      <c r="C1151" s="45" t="s">
        <v>879</v>
      </c>
      <c r="D1151" s="40">
        <v>22</v>
      </c>
      <c r="E1151" s="40">
        <v>1987</v>
      </c>
      <c r="F1151" s="295">
        <f t="shared" si="171"/>
        <v>38.20799748</v>
      </c>
      <c r="G1151" s="295">
        <f>34.336*53.68/1000</f>
        <v>1.8431564799999998</v>
      </c>
      <c r="H1151" s="295">
        <v>3.4</v>
      </c>
      <c r="I1151" s="295">
        <v>32.964841</v>
      </c>
      <c r="J1151" s="297">
        <v>1081.63</v>
      </c>
      <c r="K1151" s="290">
        <f t="shared" si="172"/>
        <v>32.964841</v>
      </c>
      <c r="L1151" s="297">
        <f t="shared" si="173"/>
        <v>1081.63</v>
      </c>
      <c r="M1151" s="289">
        <f t="shared" si="174"/>
        <v>0.030477003226611683</v>
      </c>
      <c r="N1151" s="290">
        <f t="shared" si="178"/>
        <v>358.17</v>
      </c>
      <c r="O1151" s="290">
        <f t="shared" si="175"/>
        <v>10.915948245675507</v>
      </c>
      <c r="P1151" s="290">
        <f t="shared" si="176"/>
        <v>1828.620193596701</v>
      </c>
      <c r="Q1151" s="291">
        <f t="shared" si="177"/>
        <v>654.9568947405304</v>
      </c>
      <c r="S1151" s="80"/>
      <c r="T1151" s="80"/>
    </row>
    <row r="1152" spans="1:20" ht="12.75">
      <c r="A1152" s="905"/>
      <c r="B1152" s="40">
        <v>10</v>
      </c>
      <c r="C1152" s="45" t="s">
        <v>880</v>
      </c>
      <c r="D1152" s="40">
        <v>22</v>
      </c>
      <c r="E1152" s="40">
        <v>1987</v>
      </c>
      <c r="F1152" s="295">
        <f t="shared" si="171"/>
        <v>43.6519998</v>
      </c>
      <c r="G1152" s="295">
        <f>39.41*53.68/1000</f>
        <v>2.1155287999999994</v>
      </c>
      <c r="H1152" s="295">
        <v>3.80579</v>
      </c>
      <c r="I1152" s="295">
        <v>37.730681</v>
      </c>
      <c r="J1152" s="297">
        <v>1206.54</v>
      </c>
      <c r="K1152" s="290">
        <f t="shared" si="172"/>
        <v>37.730681</v>
      </c>
      <c r="L1152" s="297">
        <f t="shared" si="173"/>
        <v>1206.54</v>
      </c>
      <c r="M1152" s="289">
        <f t="shared" si="174"/>
        <v>0.03127180284118222</v>
      </c>
      <c r="N1152" s="290">
        <f t="shared" si="178"/>
        <v>358.17</v>
      </c>
      <c r="O1152" s="290">
        <f t="shared" si="175"/>
        <v>11.200621623626237</v>
      </c>
      <c r="P1152" s="290">
        <f t="shared" si="176"/>
        <v>1876.3081704709332</v>
      </c>
      <c r="Q1152" s="291">
        <f t="shared" si="177"/>
        <v>672.0372974175742</v>
      </c>
      <c r="S1152" s="80"/>
      <c r="T1152" s="80"/>
    </row>
    <row r="1153" spans="1:20" ht="13.5" thickBot="1">
      <c r="A1153" s="906"/>
      <c r="B1153" s="42"/>
      <c r="C1153" s="374"/>
      <c r="D1153" s="375"/>
      <c r="E1153" s="375"/>
      <c r="F1153" s="493"/>
      <c r="G1153" s="493"/>
      <c r="H1153" s="493"/>
      <c r="I1153" s="493"/>
      <c r="J1153" s="528"/>
      <c r="K1153" s="485"/>
      <c r="L1153" s="528"/>
      <c r="M1153" s="529"/>
      <c r="N1153" s="485"/>
      <c r="O1153" s="485"/>
      <c r="P1153" s="485"/>
      <c r="Q1153" s="530"/>
      <c r="S1153" s="80"/>
      <c r="T1153" s="80"/>
    </row>
    <row r="1156" spans="1:17" ht="15">
      <c r="A1156" s="907" t="s">
        <v>79</v>
      </c>
      <c r="B1156" s="907"/>
      <c r="C1156" s="907"/>
      <c r="D1156" s="907"/>
      <c r="E1156" s="907"/>
      <c r="F1156" s="907"/>
      <c r="G1156" s="907"/>
      <c r="H1156" s="907"/>
      <c r="I1156" s="907"/>
      <c r="J1156" s="907"/>
      <c r="K1156" s="907"/>
      <c r="L1156" s="907"/>
      <c r="M1156" s="907"/>
      <c r="N1156" s="907"/>
      <c r="O1156" s="907"/>
      <c r="P1156" s="907"/>
      <c r="Q1156" s="907"/>
    </row>
    <row r="1157" spans="1:17" ht="13.5" thickBot="1">
      <c r="A1157" s="934" t="s">
        <v>733</v>
      </c>
      <c r="B1157" s="934"/>
      <c r="C1157" s="934"/>
      <c r="D1157" s="934"/>
      <c r="E1157" s="934"/>
      <c r="F1157" s="934"/>
      <c r="G1157" s="934"/>
      <c r="H1157" s="934"/>
      <c r="I1157" s="934"/>
      <c r="J1157" s="934"/>
      <c r="K1157" s="934"/>
      <c r="L1157" s="934"/>
      <c r="M1157" s="934"/>
      <c r="N1157" s="934"/>
      <c r="O1157" s="934"/>
      <c r="P1157" s="934"/>
      <c r="Q1157" s="934"/>
    </row>
    <row r="1158" spans="1:17" ht="11.25">
      <c r="A1158" s="885" t="s">
        <v>1</v>
      </c>
      <c r="B1158" s="908" t="s">
        <v>0</v>
      </c>
      <c r="C1158" s="880" t="s">
        <v>2</v>
      </c>
      <c r="D1158" s="880" t="s">
        <v>3</v>
      </c>
      <c r="E1158" s="880" t="s">
        <v>13</v>
      </c>
      <c r="F1158" s="911" t="s">
        <v>14</v>
      </c>
      <c r="G1158" s="912"/>
      <c r="H1158" s="912"/>
      <c r="I1158" s="913"/>
      <c r="J1158" s="880" t="s">
        <v>4</v>
      </c>
      <c r="K1158" s="880" t="s">
        <v>15</v>
      </c>
      <c r="L1158" s="880" t="s">
        <v>5</v>
      </c>
      <c r="M1158" s="880" t="s">
        <v>6</v>
      </c>
      <c r="N1158" s="880" t="s">
        <v>16</v>
      </c>
      <c r="O1158" s="880" t="s">
        <v>17</v>
      </c>
      <c r="P1158" s="920" t="s">
        <v>25</v>
      </c>
      <c r="Q1158" s="890" t="s">
        <v>26</v>
      </c>
    </row>
    <row r="1159" spans="1:17" ht="33.75">
      <c r="A1159" s="886"/>
      <c r="B1159" s="909"/>
      <c r="C1159" s="888"/>
      <c r="D1159" s="881"/>
      <c r="E1159" s="881"/>
      <c r="F1159" s="36" t="s">
        <v>18</v>
      </c>
      <c r="G1159" s="36" t="s">
        <v>19</v>
      </c>
      <c r="H1159" s="36" t="s">
        <v>20</v>
      </c>
      <c r="I1159" s="36" t="s">
        <v>21</v>
      </c>
      <c r="J1159" s="881"/>
      <c r="K1159" s="881"/>
      <c r="L1159" s="881"/>
      <c r="M1159" s="881"/>
      <c r="N1159" s="881"/>
      <c r="O1159" s="881"/>
      <c r="P1159" s="921"/>
      <c r="Q1159" s="891"/>
    </row>
    <row r="1160" spans="1:17" ht="12" thickBot="1">
      <c r="A1160" s="886"/>
      <c r="B1160" s="909"/>
      <c r="C1160" s="889"/>
      <c r="D1160" s="52" t="s">
        <v>7</v>
      </c>
      <c r="E1160" s="52" t="s">
        <v>8</v>
      </c>
      <c r="F1160" s="52" t="s">
        <v>9</v>
      </c>
      <c r="G1160" s="52" t="s">
        <v>9</v>
      </c>
      <c r="H1160" s="52" t="s">
        <v>9</v>
      </c>
      <c r="I1160" s="52" t="s">
        <v>9</v>
      </c>
      <c r="J1160" s="52" t="s">
        <v>22</v>
      </c>
      <c r="K1160" s="52" t="s">
        <v>9</v>
      </c>
      <c r="L1160" s="52" t="s">
        <v>22</v>
      </c>
      <c r="M1160" s="52" t="s">
        <v>23</v>
      </c>
      <c r="N1160" s="52" t="s">
        <v>10</v>
      </c>
      <c r="O1160" s="52" t="s">
        <v>24</v>
      </c>
      <c r="P1160" s="59" t="s">
        <v>27</v>
      </c>
      <c r="Q1160" s="54" t="s">
        <v>28</v>
      </c>
    </row>
    <row r="1161" spans="1:17" ht="11.25">
      <c r="A1161" s="947" t="s">
        <v>11</v>
      </c>
      <c r="B1161" s="90">
        <v>1</v>
      </c>
      <c r="C1161" s="56" t="s">
        <v>881</v>
      </c>
      <c r="D1161" s="55">
        <v>60</v>
      </c>
      <c r="E1161" s="55">
        <v>1964</v>
      </c>
      <c r="F1161" s="235">
        <f aca="true" t="shared" si="179" ref="F1161:F1169">G1161+H1161+I1161</f>
        <v>43.199</v>
      </c>
      <c r="G1161" s="235">
        <v>6.14324</v>
      </c>
      <c r="H1161" s="235">
        <v>9.6</v>
      </c>
      <c r="I1161" s="235">
        <v>27.45576</v>
      </c>
      <c r="J1161" s="86">
        <v>2880.44</v>
      </c>
      <c r="K1161" s="235">
        <v>27.45576</v>
      </c>
      <c r="L1161" s="86">
        <v>2880.44</v>
      </c>
      <c r="M1161" s="237">
        <f aca="true" t="shared" si="180" ref="M1161:M1169">K1161/L1161</f>
        <v>0.009531793753732068</v>
      </c>
      <c r="N1161" s="236">
        <v>288.96</v>
      </c>
      <c r="O1161" s="238">
        <f aca="true" t="shared" si="181" ref="O1161:O1169">M1161*N1161</f>
        <v>2.7543071230784184</v>
      </c>
      <c r="P1161" s="238">
        <f aca="true" t="shared" si="182" ref="P1161:P1169">M1161*60*1000</f>
        <v>571.9076252239241</v>
      </c>
      <c r="Q1161" s="239">
        <f aca="true" t="shared" si="183" ref="Q1161:Q1169">P1161*N1161/1000</f>
        <v>165.2584273847051</v>
      </c>
    </row>
    <row r="1162" spans="1:17" ht="11.25">
      <c r="A1162" s="948"/>
      <c r="B1162" s="87">
        <v>2</v>
      </c>
      <c r="C1162" s="16" t="s">
        <v>882</v>
      </c>
      <c r="D1162" s="31">
        <v>45</v>
      </c>
      <c r="E1162" s="31" t="s">
        <v>113</v>
      </c>
      <c r="F1162" s="235">
        <f t="shared" si="179"/>
        <v>35.138</v>
      </c>
      <c r="G1162" s="135">
        <v>5.69236</v>
      </c>
      <c r="H1162" s="135">
        <v>7.2</v>
      </c>
      <c r="I1162" s="135">
        <v>22.245639999999998</v>
      </c>
      <c r="J1162" s="163">
        <v>2324.67</v>
      </c>
      <c r="K1162" s="135">
        <v>22.245639999999998</v>
      </c>
      <c r="L1162" s="163">
        <v>2324.67</v>
      </c>
      <c r="M1162" s="122">
        <f t="shared" si="180"/>
        <v>0.009569375438234242</v>
      </c>
      <c r="N1162" s="121">
        <v>288.96</v>
      </c>
      <c r="O1162" s="121">
        <f t="shared" si="181"/>
        <v>2.7651667266321662</v>
      </c>
      <c r="P1162" s="238">
        <f t="shared" si="182"/>
        <v>574.1625262940545</v>
      </c>
      <c r="Q1162" s="123">
        <f t="shared" si="183"/>
        <v>165.91000359793</v>
      </c>
    </row>
    <row r="1163" spans="1:17" ht="11.25">
      <c r="A1163" s="948"/>
      <c r="B1163" s="87">
        <v>3</v>
      </c>
      <c r="C1163" s="16" t="s">
        <v>883</v>
      </c>
      <c r="D1163" s="31">
        <v>60</v>
      </c>
      <c r="E1163" s="31">
        <v>1965</v>
      </c>
      <c r="F1163" s="235">
        <f t="shared" si="179"/>
        <v>42.133</v>
      </c>
      <c r="G1163" s="135">
        <v>6.14324</v>
      </c>
      <c r="H1163" s="135">
        <v>9.6</v>
      </c>
      <c r="I1163" s="135">
        <v>26.389760000000003</v>
      </c>
      <c r="J1163" s="163">
        <v>2701.1</v>
      </c>
      <c r="K1163" s="135">
        <v>26.389760000000003</v>
      </c>
      <c r="L1163" s="163">
        <v>2701.1</v>
      </c>
      <c r="M1163" s="122">
        <f t="shared" si="180"/>
        <v>0.009770004812854024</v>
      </c>
      <c r="N1163" s="121">
        <v>288.96</v>
      </c>
      <c r="O1163" s="121">
        <f t="shared" si="181"/>
        <v>2.8231405907222986</v>
      </c>
      <c r="P1163" s="238">
        <f t="shared" si="182"/>
        <v>586.2002887712414</v>
      </c>
      <c r="Q1163" s="123">
        <f t="shared" si="183"/>
        <v>169.3884354433379</v>
      </c>
    </row>
    <row r="1164" spans="1:17" ht="11.25">
      <c r="A1164" s="948"/>
      <c r="B1164" s="31">
        <v>4</v>
      </c>
      <c r="C1164" s="16" t="s">
        <v>884</v>
      </c>
      <c r="D1164" s="31">
        <v>60</v>
      </c>
      <c r="E1164" s="31">
        <v>1966</v>
      </c>
      <c r="F1164" s="235">
        <f t="shared" si="179"/>
        <v>44.826</v>
      </c>
      <c r="G1164" s="135">
        <v>8.268237000000001</v>
      </c>
      <c r="H1164" s="135">
        <v>9.6</v>
      </c>
      <c r="I1164" s="135">
        <v>26.957763</v>
      </c>
      <c r="J1164" s="163">
        <v>2708.28</v>
      </c>
      <c r="K1164" s="135">
        <v>26.957763</v>
      </c>
      <c r="L1164" s="163">
        <v>2708.28</v>
      </c>
      <c r="M1164" s="122">
        <f t="shared" si="180"/>
        <v>0.009953831583145022</v>
      </c>
      <c r="N1164" s="121">
        <v>288.96</v>
      </c>
      <c r="O1164" s="121">
        <f t="shared" si="181"/>
        <v>2.876259174265585</v>
      </c>
      <c r="P1164" s="238">
        <f t="shared" si="182"/>
        <v>597.2298949887013</v>
      </c>
      <c r="Q1164" s="123">
        <f t="shared" si="183"/>
        <v>172.57555045593512</v>
      </c>
    </row>
    <row r="1165" spans="1:17" ht="11.25">
      <c r="A1165" s="948"/>
      <c r="B1165" s="31">
        <v>5</v>
      </c>
      <c r="C1165" s="16" t="s">
        <v>885</v>
      </c>
      <c r="D1165" s="31">
        <v>60</v>
      </c>
      <c r="E1165" s="31">
        <v>1964</v>
      </c>
      <c r="F1165" s="235">
        <f t="shared" si="179"/>
        <v>44.39</v>
      </c>
      <c r="G1165" s="135">
        <v>5.9178</v>
      </c>
      <c r="H1165" s="135">
        <v>9.6</v>
      </c>
      <c r="I1165" s="135">
        <v>28.8722</v>
      </c>
      <c r="J1165" s="163">
        <v>2880.51</v>
      </c>
      <c r="K1165" s="135">
        <v>28.8722</v>
      </c>
      <c r="L1165" s="163">
        <v>2880.51</v>
      </c>
      <c r="M1165" s="122">
        <f t="shared" si="180"/>
        <v>0.010023294486045872</v>
      </c>
      <c r="N1165" s="121">
        <v>288.96</v>
      </c>
      <c r="O1165" s="121">
        <f t="shared" si="181"/>
        <v>2.896331174687815</v>
      </c>
      <c r="P1165" s="238">
        <f t="shared" si="182"/>
        <v>601.3976691627523</v>
      </c>
      <c r="Q1165" s="123">
        <f t="shared" si="183"/>
        <v>173.77987048126892</v>
      </c>
    </row>
    <row r="1166" spans="1:17" ht="11.25">
      <c r="A1166" s="948"/>
      <c r="B1166" s="31">
        <v>6</v>
      </c>
      <c r="C1166" s="16" t="s">
        <v>886</v>
      </c>
      <c r="D1166" s="31">
        <v>61</v>
      </c>
      <c r="E1166" s="31">
        <v>1963</v>
      </c>
      <c r="F1166" s="235">
        <f t="shared" si="179"/>
        <v>45.023</v>
      </c>
      <c r="G1166" s="135">
        <v>6.166235</v>
      </c>
      <c r="H1166" s="135">
        <v>9.6</v>
      </c>
      <c r="I1166" s="135">
        <v>29.256765</v>
      </c>
      <c r="J1166" s="163">
        <v>2879.9500000000003</v>
      </c>
      <c r="K1166" s="135">
        <v>29.256765</v>
      </c>
      <c r="L1166" s="163">
        <v>2879.9500000000003</v>
      </c>
      <c r="M1166" s="122">
        <f t="shared" si="180"/>
        <v>0.010158775325960519</v>
      </c>
      <c r="N1166" s="121">
        <v>288.96</v>
      </c>
      <c r="O1166" s="121">
        <f t="shared" si="181"/>
        <v>2.9354797181895513</v>
      </c>
      <c r="P1166" s="238">
        <f t="shared" si="182"/>
        <v>609.5265195576311</v>
      </c>
      <c r="Q1166" s="123">
        <f t="shared" si="183"/>
        <v>176.12878309137307</v>
      </c>
    </row>
    <row r="1167" spans="1:17" ht="11.25">
      <c r="A1167" s="948"/>
      <c r="B1167" s="31">
        <v>7</v>
      </c>
      <c r="C1167" s="16" t="s">
        <v>887</v>
      </c>
      <c r="D1167" s="31">
        <v>40</v>
      </c>
      <c r="E1167" s="31" t="s">
        <v>113</v>
      </c>
      <c r="F1167" s="235">
        <f t="shared" si="179"/>
        <v>35.303</v>
      </c>
      <c r="G1167" s="135">
        <v>5.1851199999999995</v>
      </c>
      <c r="H1167" s="135">
        <v>6.4</v>
      </c>
      <c r="I1167" s="135">
        <v>23.71788</v>
      </c>
      <c r="J1167" s="163">
        <v>2270.57</v>
      </c>
      <c r="K1167" s="135">
        <v>23.71788</v>
      </c>
      <c r="L1167" s="163">
        <v>2270.57</v>
      </c>
      <c r="M1167" s="122">
        <f t="shared" si="180"/>
        <v>0.010445782336593894</v>
      </c>
      <c r="N1167" s="121">
        <v>288.96</v>
      </c>
      <c r="O1167" s="121">
        <f t="shared" si="181"/>
        <v>3.0184132639821715</v>
      </c>
      <c r="P1167" s="238">
        <f t="shared" si="182"/>
        <v>626.7469401956336</v>
      </c>
      <c r="Q1167" s="123">
        <f t="shared" si="183"/>
        <v>181.10479583893027</v>
      </c>
    </row>
    <row r="1168" spans="1:17" ht="11.25">
      <c r="A1168" s="948"/>
      <c r="B1168" s="31">
        <v>8</v>
      </c>
      <c r="C1168" s="16" t="s">
        <v>888</v>
      </c>
      <c r="D1168" s="31">
        <v>40</v>
      </c>
      <c r="E1168" s="31">
        <v>1974</v>
      </c>
      <c r="F1168" s="235">
        <f t="shared" si="179"/>
        <v>35.232</v>
      </c>
      <c r="G1168" s="135">
        <v>5.4502369999999996</v>
      </c>
      <c r="H1168" s="135">
        <v>6.4</v>
      </c>
      <c r="I1168" s="135">
        <v>23.381763000000003</v>
      </c>
      <c r="J1168" s="163">
        <v>2221.43</v>
      </c>
      <c r="K1168" s="135">
        <v>23.381763000000003</v>
      </c>
      <c r="L1168" s="163">
        <v>2221.43</v>
      </c>
      <c r="M1168" s="122">
        <f t="shared" si="180"/>
        <v>0.010525545707044564</v>
      </c>
      <c r="N1168" s="121">
        <v>288.96</v>
      </c>
      <c r="O1168" s="121">
        <f t="shared" si="181"/>
        <v>3.041461687507597</v>
      </c>
      <c r="P1168" s="238">
        <f t="shared" si="182"/>
        <v>631.5327424226739</v>
      </c>
      <c r="Q1168" s="123">
        <f t="shared" si="183"/>
        <v>182.48770125045584</v>
      </c>
    </row>
    <row r="1169" spans="1:17" ht="11.25">
      <c r="A1169" s="948"/>
      <c r="B1169" s="31">
        <v>9</v>
      </c>
      <c r="C1169" s="16" t="s">
        <v>889</v>
      </c>
      <c r="D1169" s="31">
        <v>60</v>
      </c>
      <c r="E1169" s="31">
        <v>1965</v>
      </c>
      <c r="F1169" s="235">
        <f t="shared" si="179"/>
        <v>44.652</v>
      </c>
      <c r="G1169" s="135">
        <v>5.562957</v>
      </c>
      <c r="H1169" s="135">
        <v>9.6</v>
      </c>
      <c r="I1169" s="135">
        <v>29.489043000000002</v>
      </c>
      <c r="J1169" s="163">
        <v>2701.06</v>
      </c>
      <c r="K1169" s="135">
        <v>29.489043000000002</v>
      </c>
      <c r="L1169" s="163">
        <v>2701.06</v>
      </c>
      <c r="M1169" s="122">
        <f t="shared" si="180"/>
        <v>0.010917581616106271</v>
      </c>
      <c r="N1169" s="121">
        <v>288.96</v>
      </c>
      <c r="O1169" s="121">
        <f t="shared" si="181"/>
        <v>3.1547443837900677</v>
      </c>
      <c r="P1169" s="238">
        <f t="shared" si="182"/>
        <v>655.0548969663763</v>
      </c>
      <c r="Q1169" s="123">
        <f t="shared" si="183"/>
        <v>189.2846630274041</v>
      </c>
    </row>
    <row r="1170" spans="1:17" ht="12" thickBot="1">
      <c r="A1170" s="949"/>
      <c r="B1170" s="57">
        <v>10</v>
      </c>
      <c r="C1170" s="58"/>
      <c r="D1170" s="57"/>
      <c r="E1170" s="57"/>
      <c r="F1170" s="203"/>
      <c r="G1170" s="203"/>
      <c r="H1170" s="203"/>
      <c r="I1170" s="203"/>
      <c r="J1170" s="311"/>
      <c r="K1170" s="203"/>
      <c r="L1170" s="311"/>
      <c r="M1170" s="125"/>
      <c r="N1170" s="124"/>
      <c r="O1170" s="425"/>
      <c r="P1170" s="124"/>
      <c r="Q1170" s="126"/>
    </row>
    <row r="1171" spans="1:17" ht="11.25">
      <c r="A1171" s="936" t="s">
        <v>29</v>
      </c>
      <c r="B1171" s="60">
        <v>1</v>
      </c>
      <c r="C1171" s="34" t="s">
        <v>890</v>
      </c>
      <c r="D1171" s="35">
        <v>100</v>
      </c>
      <c r="E1171" s="35">
        <v>1970</v>
      </c>
      <c r="F1171" s="247">
        <f aca="true" t="shared" si="184" ref="F1171:F1199">G1171+H1171+I1171</f>
        <v>99.14215999999999</v>
      </c>
      <c r="G1171" s="247">
        <v>9.226357</v>
      </c>
      <c r="H1171" s="247">
        <v>16</v>
      </c>
      <c r="I1171" s="248">
        <v>73.915803</v>
      </c>
      <c r="J1171" s="397">
        <v>4378.83</v>
      </c>
      <c r="K1171" s="247">
        <v>73.915803</v>
      </c>
      <c r="L1171" s="397">
        <v>4378.83</v>
      </c>
      <c r="M1171" s="136">
        <f aca="true" t="shared" si="185" ref="M1171:M1199">K1171/L1171</f>
        <v>0.01688026322099739</v>
      </c>
      <c r="N1171" s="137">
        <v>288.96</v>
      </c>
      <c r="O1171" s="137">
        <f aca="true" t="shared" si="186" ref="O1171:O1199">M1171*N1171</f>
        <v>4.877720860339405</v>
      </c>
      <c r="P1171" s="137">
        <f aca="true" t="shared" si="187" ref="P1171:P1199">M1171*60*1000</f>
        <v>1012.8157932598434</v>
      </c>
      <c r="Q1171" s="157">
        <f aca="true" t="shared" si="188" ref="Q1171:Q1199">P1171*N1171/1000</f>
        <v>292.6632516203643</v>
      </c>
    </row>
    <row r="1172" spans="1:17" ht="11.25">
      <c r="A1172" s="926"/>
      <c r="B1172" s="95">
        <v>2</v>
      </c>
      <c r="C1172" s="34" t="s">
        <v>891</v>
      </c>
      <c r="D1172" s="35">
        <v>31</v>
      </c>
      <c r="E1172" s="35" t="s">
        <v>113</v>
      </c>
      <c r="F1172" s="248">
        <f t="shared" si="184"/>
        <v>34.682</v>
      </c>
      <c r="G1172" s="248">
        <v>4.33972</v>
      </c>
      <c r="H1172" s="248">
        <v>4.8</v>
      </c>
      <c r="I1172" s="248">
        <v>25.54228</v>
      </c>
      <c r="J1172" s="110">
        <v>1511.9</v>
      </c>
      <c r="K1172" s="248">
        <v>25.54228</v>
      </c>
      <c r="L1172" s="110">
        <v>1511.9</v>
      </c>
      <c r="M1172" s="136">
        <f t="shared" si="185"/>
        <v>0.01689415966664462</v>
      </c>
      <c r="N1172" s="127">
        <v>288.96</v>
      </c>
      <c r="O1172" s="137">
        <f t="shared" si="186"/>
        <v>4.881736377273629</v>
      </c>
      <c r="P1172" s="137">
        <f t="shared" si="187"/>
        <v>1013.6495799986772</v>
      </c>
      <c r="Q1172" s="157">
        <f t="shared" si="188"/>
        <v>292.9041826364177</v>
      </c>
    </row>
    <row r="1173" spans="1:17" ht="11.25">
      <c r="A1173" s="926"/>
      <c r="B1173" s="35">
        <v>3</v>
      </c>
      <c r="C1173" s="34" t="s">
        <v>892</v>
      </c>
      <c r="D1173" s="35">
        <v>45</v>
      </c>
      <c r="E1173" s="35">
        <v>1975</v>
      </c>
      <c r="F1173" s="248">
        <f t="shared" si="184"/>
        <v>55.92</v>
      </c>
      <c r="G1173" s="248">
        <v>8.79216</v>
      </c>
      <c r="H1173" s="248">
        <v>7.2</v>
      </c>
      <c r="I1173" s="248">
        <v>39.92784</v>
      </c>
      <c r="J1173" s="110">
        <v>2346.84</v>
      </c>
      <c r="K1173" s="248">
        <v>39.92784</v>
      </c>
      <c r="L1173" s="110">
        <v>2346.84</v>
      </c>
      <c r="M1173" s="128">
        <f t="shared" si="185"/>
        <v>0.01701344787032776</v>
      </c>
      <c r="N1173" s="127">
        <v>288.96</v>
      </c>
      <c r="O1173" s="137">
        <f t="shared" si="186"/>
        <v>4.916205896609909</v>
      </c>
      <c r="P1173" s="137">
        <f t="shared" si="187"/>
        <v>1020.8068722196655</v>
      </c>
      <c r="Q1173" s="155">
        <f t="shared" si="188"/>
        <v>294.9723537965945</v>
      </c>
    </row>
    <row r="1174" spans="1:17" ht="11.25">
      <c r="A1174" s="926"/>
      <c r="B1174" s="35">
        <v>4</v>
      </c>
      <c r="C1174" s="34" t="s">
        <v>893</v>
      </c>
      <c r="D1174" s="35">
        <v>60</v>
      </c>
      <c r="E1174" s="35">
        <v>1964</v>
      </c>
      <c r="F1174" s="248">
        <f t="shared" si="184"/>
        <v>65.074</v>
      </c>
      <c r="G1174" s="248">
        <v>6.295637</v>
      </c>
      <c r="H1174" s="248">
        <v>9.52</v>
      </c>
      <c r="I1174" s="248">
        <v>49.258363</v>
      </c>
      <c r="J1174" s="110">
        <v>2879.56</v>
      </c>
      <c r="K1174" s="248">
        <v>49.258363</v>
      </c>
      <c r="L1174" s="110">
        <v>2879.56</v>
      </c>
      <c r="M1174" s="128">
        <f t="shared" si="185"/>
        <v>0.017106211712900582</v>
      </c>
      <c r="N1174" s="127">
        <v>288.96</v>
      </c>
      <c r="O1174" s="127">
        <f t="shared" si="186"/>
        <v>4.943010936559752</v>
      </c>
      <c r="P1174" s="137">
        <f t="shared" si="187"/>
        <v>1026.372702774035</v>
      </c>
      <c r="Q1174" s="155">
        <f t="shared" si="188"/>
        <v>296.58065619358507</v>
      </c>
    </row>
    <row r="1175" spans="1:17" ht="11.25">
      <c r="A1175" s="926"/>
      <c r="B1175" s="35">
        <v>5</v>
      </c>
      <c r="C1175" s="34" t="s">
        <v>894</v>
      </c>
      <c r="D1175" s="35">
        <v>75</v>
      </c>
      <c r="E1175" s="35">
        <v>1982</v>
      </c>
      <c r="F1175" s="248">
        <f t="shared" si="184"/>
        <v>91.02600000000001</v>
      </c>
      <c r="G1175" s="248">
        <v>9.75028</v>
      </c>
      <c r="H1175" s="248">
        <v>12</v>
      </c>
      <c r="I1175" s="248">
        <v>69.27572</v>
      </c>
      <c r="J1175" s="110">
        <v>4032.92</v>
      </c>
      <c r="K1175" s="248">
        <v>69.27572</v>
      </c>
      <c r="L1175" s="110">
        <v>4032.92</v>
      </c>
      <c r="M1175" s="128">
        <f t="shared" si="185"/>
        <v>0.01717755869196513</v>
      </c>
      <c r="N1175" s="127">
        <v>288.96</v>
      </c>
      <c r="O1175" s="127">
        <f t="shared" si="186"/>
        <v>4.963627359630244</v>
      </c>
      <c r="P1175" s="137">
        <f t="shared" si="187"/>
        <v>1030.6535215179078</v>
      </c>
      <c r="Q1175" s="155">
        <f t="shared" si="188"/>
        <v>297.81764157781464</v>
      </c>
    </row>
    <row r="1176" spans="1:17" ht="11.25">
      <c r="A1176" s="926"/>
      <c r="B1176" s="35">
        <v>6</v>
      </c>
      <c r="C1176" s="34" t="s">
        <v>895</v>
      </c>
      <c r="D1176" s="35">
        <v>100</v>
      </c>
      <c r="E1176" s="35">
        <v>1966</v>
      </c>
      <c r="F1176" s="248">
        <f t="shared" si="184"/>
        <v>99.624</v>
      </c>
      <c r="G1176" s="248">
        <v>8.291232</v>
      </c>
      <c r="H1176" s="248">
        <v>16</v>
      </c>
      <c r="I1176" s="248">
        <v>75.332768</v>
      </c>
      <c r="J1176" s="110">
        <v>4377.1</v>
      </c>
      <c r="K1176" s="248">
        <v>75.332768</v>
      </c>
      <c r="L1176" s="110">
        <v>4377.1</v>
      </c>
      <c r="M1176" s="128">
        <f t="shared" si="185"/>
        <v>0.01721065728450344</v>
      </c>
      <c r="N1176" s="127">
        <v>288.96</v>
      </c>
      <c r="O1176" s="127">
        <f t="shared" si="186"/>
        <v>4.973191528930113</v>
      </c>
      <c r="P1176" s="137">
        <f t="shared" si="187"/>
        <v>1032.6394370702064</v>
      </c>
      <c r="Q1176" s="155">
        <f t="shared" si="188"/>
        <v>298.3914917358068</v>
      </c>
    </row>
    <row r="1177" spans="1:17" ht="11.25">
      <c r="A1177" s="926"/>
      <c r="B1177" s="35">
        <v>7</v>
      </c>
      <c r="C1177" s="34" t="s">
        <v>896</v>
      </c>
      <c r="D1177" s="35">
        <v>60</v>
      </c>
      <c r="E1177" s="35">
        <v>1966</v>
      </c>
      <c r="F1177" s="248">
        <f t="shared" si="184"/>
        <v>60.895</v>
      </c>
      <c r="G1177" s="248">
        <v>4.84696</v>
      </c>
      <c r="H1177" s="248">
        <v>9.52</v>
      </c>
      <c r="I1177" s="248">
        <v>46.528040000000004</v>
      </c>
      <c r="J1177" s="110">
        <v>2701.1</v>
      </c>
      <c r="K1177" s="248">
        <v>46.528040000000004</v>
      </c>
      <c r="L1177" s="110">
        <v>2701.1</v>
      </c>
      <c r="M1177" s="128">
        <f t="shared" si="185"/>
        <v>0.017225589574617752</v>
      </c>
      <c r="N1177" s="127">
        <v>288.96</v>
      </c>
      <c r="O1177" s="127">
        <f t="shared" si="186"/>
        <v>4.977506363481545</v>
      </c>
      <c r="P1177" s="137">
        <f t="shared" si="187"/>
        <v>1033.5353744770653</v>
      </c>
      <c r="Q1177" s="155">
        <f t="shared" si="188"/>
        <v>298.65038180889275</v>
      </c>
    </row>
    <row r="1178" spans="1:17" ht="11.25">
      <c r="A1178" s="926"/>
      <c r="B1178" s="35">
        <v>8</v>
      </c>
      <c r="C1178" s="34" t="s">
        <v>897</v>
      </c>
      <c r="D1178" s="35">
        <v>22</v>
      </c>
      <c r="E1178" s="35">
        <v>1978</v>
      </c>
      <c r="F1178" s="248">
        <f t="shared" si="184"/>
        <v>25.707</v>
      </c>
      <c r="G1178" s="248">
        <v>2.31076</v>
      </c>
      <c r="H1178" s="248">
        <v>3.52</v>
      </c>
      <c r="I1178" s="248">
        <v>19.87624</v>
      </c>
      <c r="J1178" s="110">
        <v>1140.1100000000001</v>
      </c>
      <c r="K1178" s="248">
        <v>19.87624</v>
      </c>
      <c r="L1178" s="110">
        <v>1140.1100000000001</v>
      </c>
      <c r="M1178" s="128">
        <f t="shared" si="185"/>
        <v>0.01743361605459122</v>
      </c>
      <c r="N1178" s="127">
        <v>288.96</v>
      </c>
      <c r="O1178" s="127">
        <f t="shared" si="186"/>
        <v>5.037617695134679</v>
      </c>
      <c r="P1178" s="137">
        <f t="shared" si="187"/>
        <v>1046.0169632754732</v>
      </c>
      <c r="Q1178" s="155">
        <f t="shared" si="188"/>
        <v>302.2570617080807</v>
      </c>
    </row>
    <row r="1179" spans="1:17" ht="11.25">
      <c r="A1179" s="937"/>
      <c r="B1179" s="61">
        <v>9</v>
      </c>
      <c r="C1179" s="34" t="s">
        <v>898</v>
      </c>
      <c r="D1179" s="35">
        <v>60</v>
      </c>
      <c r="E1179" s="35">
        <v>1969</v>
      </c>
      <c r="F1179" s="248">
        <f t="shared" si="184"/>
        <v>61.88000000000001</v>
      </c>
      <c r="G1179" s="248">
        <v>5.0724</v>
      </c>
      <c r="H1179" s="248">
        <v>9.6</v>
      </c>
      <c r="I1179" s="248">
        <v>47.207600000000006</v>
      </c>
      <c r="J1179" s="110">
        <v>2701.09</v>
      </c>
      <c r="K1179" s="248">
        <v>47.207600000000006</v>
      </c>
      <c r="L1179" s="110">
        <v>2701.09</v>
      </c>
      <c r="M1179" s="128">
        <f t="shared" si="185"/>
        <v>0.017477240669507496</v>
      </c>
      <c r="N1179" s="127">
        <v>288.96</v>
      </c>
      <c r="O1179" s="127">
        <f t="shared" si="186"/>
        <v>5.050223463860886</v>
      </c>
      <c r="P1179" s="137">
        <f t="shared" si="187"/>
        <v>1048.6344401704498</v>
      </c>
      <c r="Q1179" s="155">
        <f t="shared" si="188"/>
        <v>303.0134078316531</v>
      </c>
    </row>
    <row r="1180" spans="1:17" ht="12" thickBot="1">
      <c r="A1180" s="927"/>
      <c r="B1180" s="37">
        <v>10</v>
      </c>
      <c r="C1180" s="76" t="s">
        <v>899</v>
      </c>
      <c r="D1180" s="37">
        <v>23</v>
      </c>
      <c r="E1180" s="37">
        <v>1978</v>
      </c>
      <c r="F1180" s="250">
        <f t="shared" si="184"/>
        <v>27.553399999999996</v>
      </c>
      <c r="G1180" s="250">
        <v>2.5925599999999998</v>
      </c>
      <c r="H1180" s="250">
        <v>3.52</v>
      </c>
      <c r="I1180" s="250">
        <v>21.440839999999998</v>
      </c>
      <c r="J1180" s="171">
        <v>1224.46</v>
      </c>
      <c r="K1180" s="250">
        <v>21.440839999999998</v>
      </c>
      <c r="L1180" s="171">
        <v>1224.46</v>
      </c>
      <c r="M1180" s="205">
        <f t="shared" si="185"/>
        <v>0.017510445420838572</v>
      </c>
      <c r="N1180" s="158">
        <v>288.96</v>
      </c>
      <c r="O1180" s="158">
        <f t="shared" si="186"/>
        <v>5.0598183088055135</v>
      </c>
      <c r="P1180" s="158">
        <f t="shared" si="187"/>
        <v>1050.6267252503144</v>
      </c>
      <c r="Q1180" s="159">
        <f t="shared" si="188"/>
        <v>303.58909852833085</v>
      </c>
    </row>
    <row r="1181" spans="1:17" ht="11.25">
      <c r="A1181" s="917" t="s">
        <v>30</v>
      </c>
      <c r="B1181" s="218">
        <v>1</v>
      </c>
      <c r="C1181" s="254" t="s">
        <v>900</v>
      </c>
      <c r="D1181" s="218">
        <v>39</v>
      </c>
      <c r="E1181" s="218">
        <v>1993</v>
      </c>
      <c r="F1181" s="389">
        <f t="shared" si="184"/>
        <v>63.223639999999996</v>
      </c>
      <c r="G1181" s="389">
        <v>4.73424</v>
      </c>
      <c r="H1181" s="389">
        <v>6.08</v>
      </c>
      <c r="I1181" s="389">
        <v>52.4094</v>
      </c>
      <c r="J1181" s="399">
        <v>1983.8400000000001</v>
      </c>
      <c r="K1181" s="389">
        <v>52.4094</v>
      </c>
      <c r="L1181" s="331">
        <v>1983.8400000000001</v>
      </c>
      <c r="M1181" s="268">
        <f t="shared" si="185"/>
        <v>0.026418158722477617</v>
      </c>
      <c r="N1181" s="267">
        <v>288.96</v>
      </c>
      <c r="O1181" s="267">
        <f t="shared" si="186"/>
        <v>7.633791144447131</v>
      </c>
      <c r="P1181" s="267">
        <f t="shared" si="187"/>
        <v>1585.089523348657</v>
      </c>
      <c r="Q1181" s="269">
        <f t="shared" si="188"/>
        <v>458.0274686668279</v>
      </c>
    </row>
    <row r="1182" spans="1:17" ht="11.25">
      <c r="A1182" s="918"/>
      <c r="B1182" s="219">
        <v>2</v>
      </c>
      <c r="C1182" s="256" t="s">
        <v>901</v>
      </c>
      <c r="D1182" s="219">
        <v>30</v>
      </c>
      <c r="E1182" s="219">
        <v>1991</v>
      </c>
      <c r="F1182" s="270">
        <f t="shared" si="184"/>
        <v>48.646</v>
      </c>
      <c r="G1182" s="270">
        <v>4.11428</v>
      </c>
      <c r="H1182" s="270">
        <v>4.8</v>
      </c>
      <c r="I1182" s="270">
        <v>39.73172</v>
      </c>
      <c r="J1182" s="261">
        <v>1503.25</v>
      </c>
      <c r="K1182" s="270">
        <v>39.73172</v>
      </c>
      <c r="L1182" s="261">
        <v>1503.25</v>
      </c>
      <c r="M1182" s="272">
        <f t="shared" si="185"/>
        <v>0.026430547147846335</v>
      </c>
      <c r="N1182" s="271">
        <v>288.96</v>
      </c>
      <c r="O1182" s="271">
        <f t="shared" si="186"/>
        <v>7.637370903841676</v>
      </c>
      <c r="P1182" s="267">
        <f t="shared" si="187"/>
        <v>1585.83282887078</v>
      </c>
      <c r="Q1182" s="273">
        <f t="shared" si="188"/>
        <v>458.24225423050063</v>
      </c>
    </row>
    <row r="1183" spans="1:17" ht="11.25">
      <c r="A1183" s="918"/>
      <c r="B1183" s="219">
        <v>3</v>
      </c>
      <c r="C1183" s="256" t="s">
        <v>902</v>
      </c>
      <c r="D1183" s="219">
        <v>54</v>
      </c>
      <c r="E1183" s="219">
        <v>1977</v>
      </c>
      <c r="F1183" s="270">
        <f t="shared" si="184"/>
        <v>95.382</v>
      </c>
      <c r="G1183" s="270">
        <v>7.3267999999999995</v>
      </c>
      <c r="H1183" s="270">
        <v>8.64</v>
      </c>
      <c r="I1183" s="270">
        <v>79.41520000000001</v>
      </c>
      <c r="J1183" s="261">
        <v>2998.07</v>
      </c>
      <c r="K1183" s="270">
        <v>79.41520000000001</v>
      </c>
      <c r="L1183" s="261">
        <v>2998.07</v>
      </c>
      <c r="M1183" s="272">
        <f t="shared" si="185"/>
        <v>0.026488774444892883</v>
      </c>
      <c r="N1183" s="271">
        <v>288.96</v>
      </c>
      <c r="O1183" s="271">
        <f t="shared" si="186"/>
        <v>7.654196263596247</v>
      </c>
      <c r="P1183" s="267">
        <f t="shared" si="187"/>
        <v>1589.326466693573</v>
      </c>
      <c r="Q1183" s="273">
        <f t="shared" si="188"/>
        <v>459.2517758157748</v>
      </c>
    </row>
    <row r="1184" spans="1:17" ht="11.25">
      <c r="A1184" s="918"/>
      <c r="B1184" s="219">
        <v>4</v>
      </c>
      <c r="C1184" s="256" t="s">
        <v>903</v>
      </c>
      <c r="D1184" s="219">
        <v>65</v>
      </c>
      <c r="E1184" s="219">
        <v>1988</v>
      </c>
      <c r="F1184" s="270">
        <f t="shared" si="184"/>
        <v>77.323</v>
      </c>
      <c r="G1184" s="270">
        <v>4.67788</v>
      </c>
      <c r="H1184" s="270">
        <v>10.32</v>
      </c>
      <c r="I1184" s="270">
        <v>62.32512</v>
      </c>
      <c r="J1184" s="261">
        <v>2344.15</v>
      </c>
      <c r="K1184" s="270">
        <v>62.32512</v>
      </c>
      <c r="L1184" s="261">
        <v>2344.15</v>
      </c>
      <c r="M1184" s="272">
        <f t="shared" si="185"/>
        <v>0.026587513597679326</v>
      </c>
      <c r="N1184" s="271">
        <v>288.96</v>
      </c>
      <c r="O1184" s="271">
        <f t="shared" si="186"/>
        <v>7.682727929185417</v>
      </c>
      <c r="P1184" s="267">
        <f t="shared" si="187"/>
        <v>1595.2508158607598</v>
      </c>
      <c r="Q1184" s="273">
        <f t="shared" si="188"/>
        <v>460.9636757511251</v>
      </c>
    </row>
    <row r="1185" spans="1:17" ht="11.25">
      <c r="A1185" s="918"/>
      <c r="B1185" s="219">
        <v>5</v>
      </c>
      <c r="C1185" s="256" t="s">
        <v>904</v>
      </c>
      <c r="D1185" s="219">
        <v>54</v>
      </c>
      <c r="E1185" s="219">
        <v>1989</v>
      </c>
      <c r="F1185" s="270">
        <f t="shared" si="184"/>
        <v>95.38999999999999</v>
      </c>
      <c r="G1185" s="270">
        <v>6.4814</v>
      </c>
      <c r="H1185" s="270">
        <v>8.64</v>
      </c>
      <c r="I1185" s="270">
        <v>80.26859999999999</v>
      </c>
      <c r="J1185" s="261">
        <v>3010.5</v>
      </c>
      <c r="K1185" s="270">
        <v>80.26859999999999</v>
      </c>
      <c r="L1185" s="261">
        <v>3010.5</v>
      </c>
      <c r="M1185" s="272">
        <f t="shared" si="185"/>
        <v>0.02666287992027902</v>
      </c>
      <c r="N1185" s="271">
        <v>288.96</v>
      </c>
      <c r="O1185" s="271">
        <f t="shared" si="186"/>
        <v>7.704505781763825</v>
      </c>
      <c r="P1185" s="267">
        <f t="shared" si="187"/>
        <v>1599.772795216741</v>
      </c>
      <c r="Q1185" s="273">
        <f t="shared" si="188"/>
        <v>462.27034690582946</v>
      </c>
    </row>
    <row r="1186" spans="1:17" ht="11.25">
      <c r="A1186" s="918"/>
      <c r="B1186" s="219">
        <v>6</v>
      </c>
      <c r="C1186" s="256" t="s">
        <v>905</v>
      </c>
      <c r="D1186" s="219">
        <v>76</v>
      </c>
      <c r="E1186" s="219">
        <v>1983</v>
      </c>
      <c r="F1186" s="270">
        <f t="shared" si="184"/>
        <v>99.969</v>
      </c>
      <c r="G1186" s="270">
        <v>5.957477</v>
      </c>
      <c r="H1186" s="270">
        <v>0.75</v>
      </c>
      <c r="I1186" s="270">
        <v>93.261523</v>
      </c>
      <c r="J1186" s="261">
        <v>3490.17</v>
      </c>
      <c r="K1186" s="270">
        <v>93.261523</v>
      </c>
      <c r="L1186" s="261">
        <v>3490.17</v>
      </c>
      <c r="M1186" s="272">
        <f t="shared" si="185"/>
        <v>0.02672119782130956</v>
      </c>
      <c r="N1186" s="271">
        <v>288.96</v>
      </c>
      <c r="O1186" s="271">
        <f t="shared" si="186"/>
        <v>7.72135732244561</v>
      </c>
      <c r="P1186" s="267">
        <f t="shared" si="187"/>
        <v>1603.2718692785736</v>
      </c>
      <c r="Q1186" s="273">
        <f t="shared" si="188"/>
        <v>463.2814393467366</v>
      </c>
    </row>
    <row r="1187" spans="1:17" ht="11.25">
      <c r="A1187" s="918"/>
      <c r="B1187" s="219">
        <v>7</v>
      </c>
      <c r="C1187" s="256" t="s">
        <v>906</v>
      </c>
      <c r="D1187" s="219">
        <v>45</v>
      </c>
      <c r="E1187" s="219">
        <v>1976</v>
      </c>
      <c r="F1187" s="270">
        <f t="shared" si="184"/>
        <v>74.072</v>
      </c>
      <c r="G1187" s="270">
        <v>4.5881549999999995</v>
      </c>
      <c r="H1187" s="270">
        <v>7.2</v>
      </c>
      <c r="I1187" s="270">
        <v>62.283845</v>
      </c>
      <c r="J1187" s="261">
        <v>2326.7200000000003</v>
      </c>
      <c r="K1187" s="270">
        <v>62.283845</v>
      </c>
      <c r="L1187" s="261">
        <v>2326.7200000000003</v>
      </c>
      <c r="M1187" s="272">
        <f t="shared" si="185"/>
        <v>0.026768947273414934</v>
      </c>
      <c r="N1187" s="271">
        <v>288.96</v>
      </c>
      <c r="O1187" s="271">
        <f t="shared" si="186"/>
        <v>7.7351550041259785</v>
      </c>
      <c r="P1187" s="267">
        <f t="shared" si="187"/>
        <v>1606.136836404896</v>
      </c>
      <c r="Q1187" s="273">
        <f t="shared" si="188"/>
        <v>464.10930024755874</v>
      </c>
    </row>
    <row r="1188" spans="1:17" ht="11.25">
      <c r="A1188" s="918"/>
      <c r="B1188" s="219">
        <v>8</v>
      </c>
      <c r="C1188" s="256" t="s">
        <v>907</v>
      </c>
      <c r="D1188" s="219">
        <v>66</v>
      </c>
      <c r="E1188" s="219">
        <v>1989</v>
      </c>
      <c r="F1188" s="270">
        <f t="shared" si="184"/>
        <v>78.024</v>
      </c>
      <c r="G1188" s="270">
        <v>4.717557</v>
      </c>
      <c r="H1188" s="270">
        <v>10.32</v>
      </c>
      <c r="I1188" s="270">
        <v>62.986443</v>
      </c>
      <c r="J1188" s="261">
        <v>2352.05</v>
      </c>
      <c r="K1188" s="270">
        <v>62.986443</v>
      </c>
      <c r="L1188" s="261">
        <v>2352.05</v>
      </c>
      <c r="M1188" s="272">
        <f t="shared" si="185"/>
        <v>0.026779380965540698</v>
      </c>
      <c r="N1188" s="271">
        <v>288.96</v>
      </c>
      <c r="O1188" s="271">
        <f t="shared" si="186"/>
        <v>7.73816992380264</v>
      </c>
      <c r="P1188" s="267">
        <f t="shared" si="187"/>
        <v>1606.7628579324419</v>
      </c>
      <c r="Q1188" s="273">
        <f t="shared" si="188"/>
        <v>464.29019542815837</v>
      </c>
    </row>
    <row r="1189" spans="1:17" ht="11.25">
      <c r="A1189" s="935"/>
      <c r="B1189" s="231">
        <v>9</v>
      </c>
      <c r="C1189" s="256" t="s">
        <v>908</v>
      </c>
      <c r="D1189" s="219">
        <v>50</v>
      </c>
      <c r="E1189" s="219">
        <v>1972</v>
      </c>
      <c r="F1189" s="270">
        <f t="shared" si="184"/>
        <v>82.64600000000002</v>
      </c>
      <c r="G1189" s="270">
        <v>6.08688</v>
      </c>
      <c r="H1189" s="270">
        <v>8</v>
      </c>
      <c r="I1189" s="270">
        <v>68.55912000000001</v>
      </c>
      <c r="J1189" s="261">
        <v>2555.84</v>
      </c>
      <c r="K1189" s="270">
        <v>68.55912000000001</v>
      </c>
      <c r="L1189" s="261">
        <v>2555.84</v>
      </c>
      <c r="M1189" s="272">
        <f t="shared" si="185"/>
        <v>0.02682449605609115</v>
      </c>
      <c r="N1189" s="271">
        <v>288.96</v>
      </c>
      <c r="O1189" s="271">
        <f t="shared" si="186"/>
        <v>7.751206380368098</v>
      </c>
      <c r="P1189" s="267">
        <f t="shared" si="187"/>
        <v>1609.469763365469</v>
      </c>
      <c r="Q1189" s="273">
        <f t="shared" si="188"/>
        <v>465.07238282208584</v>
      </c>
    </row>
    <row r="1190" spans="1:17" ht="12" thickBot="1">
      <c r="A1190" s="919"/>
      <c r="B1190" s="232">
        <v>10</v>
      </c>
      <c r="C1190" s="258" t="s">
        <v>909</v>
      </c>
      <c r="D1190" s="232">
        <v>18</v>
      </c>
      <c r="E1190" s="232">
        <v>1989</v>
      </c>
      <c r="F1190" s="274">
        <f t="shared" si="184"/>
        <v>32.392</v>
      </c>
      <c r="G1190" s="274">
        <v>2.5925599999999998</v>
      </c>
      <c r="H1190" s="274">
        <v>2.88</v>
      </c>
      <c r="I1190" s="274">
        <v>26.91944</v>
      </c>
      <c r="J1190" s="263">
        <v>996.24</v>
      </c>
      <c r="K1190" s="274">
        <v>26.91944</v>
      </c>
      <c r="L1190" s="263">
        <v>996.24</v>
      </c>
      <c r="M1190" s="276">
        <f t="shared" si="185"/>
        <v>0.027021039107042483</v>
      </c>
      <c r="N1190" s="275">
        <v>288.96</v>
      </c>
      <c r="O1190" s="275">
        <f t="shared" si="186"/>
        <v>7.807999460370995</v>
      </c>
      <c r="P1190" s="275">
        <f t="shared" si="187"/>
        <v>1621.2623464225492</v>
      </c>
      <c r="Q1190" s="277">
        <f t="shared" si="188"/>
        <v>468.4799676222597</v>
      </c>
    </row>
    <row r="1191" spans="1:17" ht="11.25">
      <c r="A1191" s="928" t="s">
        <v>12</v>
      </c>
      <c r="B1191" s="38">
        <v>1</v>
      </c>
      <c r="C1191" s="259" t="s">
        <v>910</v>
      </c>
      <c r="D1191" s="38">
        <v>73</v>
      </c>
      <c r="E1191" s="38">
        <v>1976</v>
      </c>
      <c r="F1191" s="394">
        <f t="shared" si="184"/>
        <v>82.328</v>
      </c>
      <c r="G1191" s="394">
        <v>6.690157</v>
      </c>
      <c r="H1191" s="394">
        <v>11.52</v>
      </c>
      <c r="I1191" s="394">
        <v>64.11784300000001</v>
      </c>
      <c r="J1191" s="334">
        <v>2115.62</v>
      </c>
      <c r="K1191" s="394">
        <v>64.11784300000001</v>
      </c>
      <c r="L1191" s="332">
        <v>2115.62</v>
      </c>
      <c r="M1191" s="283">
        <f t="shared" si="185"/>
        <v>0.030306880725272028</v>
      </c>
      <c r="N1191" s="284">
        <v>288.96</v>
      </c>
      <c r="O1191" s="284">
        <f t="shared" si="186"/>
        <v>8.757476254374604</v>
      </c>
      <c r="P1191" s="284">
        <f t="shared" si="187"/>
        <v>1818.4128435163216</v>
      </c>
      <c r="Q1191" s="285">
        <f t="shared" si="188"/>
        <v>525.4485752624762</v>
      </c>
    </row>
    <row r="1192" spans="1:17" ht="11.25">
      <c r="A1192" s="929"/>
      <c r="B1192" s="73">
        <v>2</v>
      </c>
      <c r="C1192" s="45" t="s">
        <v>911</v>
      </c>
      <c r="D1192" s="40">
        <v>9</v>
      </c>
      <c r="E1192" s="40" t="s">
        <v>113</v>
      </c>
      <c r="F1192" s="295">
        <f t="shared" si="184"/>
        <v>16.03</v>
      </c>
      <c r="G1192" s="295">
        <v>0</v>
      </c>
      <c r="H1192" s="295">
        <v>0</v>
      </c>
      <c r="I1192" s="295">
        <v>16.03</v>
      </c>
      <c r="J1192" s="297">
        <v>513.52</v>
      </c>
      <c r="K1192" s="295">
        <v>16.03</v>
      </c>
      <c r="L1192" s="297">
        <v>513.52</v>
      </c>
      <c r="M1192" s="289">
        <f t="shared" si="185"/>
        <v>0.03121592148309706</v>
      </c>
      <c r="N1192" s="290">
        <v>288.96</v>
      </c>
      <c r="O1192" s="290">
        <f t="shared" si="186"/>
        <v>9.020152671755726</v>
      </c>
      <c r="P1192" s="284">
        <f t="shared" si="187"/>
        <v>1872.9552889858237</v>
      </c>
      <c r="Q1192" s="291">
        <f t="shared" si="188"/>
        <v>541.2091603053435</v>
      </c>
    </row>
    <row r="1193" spans="1:17" ht="11.25">
      <c r="A1193" s="929"/>
      <c r="B1193" s="73">
        <v>3</v>
      </c>
      <c r="C1193" s="45" t="s">
        <v>912</v>
      </c>
      <c r="D1193" s="40">
        <v>36</v>
      </c>
      <c r="E1193" s="40" t="s">
        <v>113</v>
      </c>
      <c r="F1193" s="295">
        <f t="shared" si="184"/>
        <v>73.45400000000001</v>
      </c>
      <c r="G1193" s="295">
        <v>4.33972</v>
      </c>
      <c r="H1193" s="295">
        <v>5.76</v>
      </c>
      <c r="I1193" s="295">
        <v>63.35428</v>
      </c>
      <c r="J1193" s="297">
        <v>1955.29</v>
      </c>
      <c r="K1193" s="295">
        <v>63.35428</v>
      </c>
      <c r="L1193" s="297">
        <v>1955.29</v>
      </c>
      <c r="M1193" s="289">
        <f t="shared" si="185"/>
        <v>0.032401474973021906</v>
      </c>
      <c r="N1193" s="290">
        <v>288.96</v>
      </c>
      <c r="O1193" s="290">
        <f t="shared" si="186"/>
        <v>9.36273020820441</v>
      </c>
      <c r="P1193" s="284">
        <f t="shared" si="187"/>
        <v>1944.0884983813144</v>
      </c>
      <c r="Q1193" s="291">
        <f t="shared" si="188"/>
        <v>561.7638124922646</v>
      </c>
    </row>
    <row r="1194" spans="1:17" ht="11.25">
      <c r="A1194" s="930"/>
      <c r="B1194" s="40">
        <v>4</v>
      </c>
      <c r="C1194" s="45" t="s">
        <v>913</v>
      </c>
      <c r="D1194" s="40">
        <v>74</v>
      </c>
      <c r="E1194" s="40">
        <v>1977</v>
      </c>
      <c r="F1194" s="295">
        <f t="shared" si="184"/>
        <v>85.87400000000001</v>
      </c>
      <c r="G1194" s="295">
        <v>5.264475</v>
      </c>
      <c r="H1194" s="295">
        <v>11.52</v>
      </c>
      <c r="I1194" s="295">
        <v>69.08952500000001</v>
      </c>
      <c r="J1194" s="297">
        <v>2121.18</v>
      </c>
      <c r="K1194" s="295">
        <v>69.08952500000001</v>
      </c>
      <c r="L1194" s="297">
        <v>2121.18</v>
      </c>
      <c r="M1194" s="289">
        <f t="shared" si="185"/>
        <v>0.03257126929350645</v>
      </c>
      <c r="N1194" s="290">
        <v>288.96</v>
      </c>
      <c r="O1194" s="290">
        <f t="shared" si="186"/>
        <v>9.411793975051623</v>
      </c>
      <c r="P1194" s="284">
        <f t="shared" si="187"/>
        <v>1954.276157610387</v>
      </c>
      <c r="Q1194" s="291">
        <f t="shared" si="188"/>
        <v>564.7076385030973</v>
      </c>
    </row>
    <row r="1195" spans="1:17" ht="11.25">
      <c r="A1195" s="930"/>
      <c r="B1195" s="40">
        <v>5</v>
      </c>
      <c r="C1195" s="45" t="s">
        <v>914</v>
      </c>
      <c r="D1195" s="40">
        <v>9</v>
      </c>
      <c r="E1195" s="40" t="s">
        <v>113</v>
      </c>
      <c r="F1195" s="295">
        <f t="shared" si="184"/>
        <v>17.245</v>
      </c>
      <c r="G1195" s="295">
        <v>0</v>
      </c>
      <c r="H1195" s="295">
        <v>0</v>
      </c>
      <c r="I1195" s="295">
        <v>17.245</v>
      </c>
      <c r="J1195" s="297">
        <v>513.61</v>
      </c>
      <c r="K1195" s="295">
        <v>17.245</v>
      </c>
      <c r="L1195" s="297">
        <v>513.61</v>
      </c>
      <c r="M1195" s="289">
        <f t="shared" si="185"/>
        <v>0.03357605965615934</v>
      </c>
      <c r="N1195" s="290">
        <v>288.96</v>
      </c>
      <c r="O1195" s="290">
        <f t="shared" si="186"/>
        <v>9.702138198243802</v>
      </c>
      <c r="P1195" s="284">
        <f t="shared" si="187"/>
        <v>2014.56357936956</v>
      </c>
      <c r="Q1195" s="291">
        <f t="shared" si="188"/>
        <v>582.1282918946281</v>
      </c>
    </row>
    <row r="1196" spans="1:17" ht="11.25">
      <c r="A1196" s="930"/>
      <c r="B1196" s="40">
        <v>6</v>
      </c>
      <c r="C1196" s="45" t="s">
        <v>915</v>
      </c>
      <c r="D1196" s="40">
        <v>147</v>
      </c>
      <c r="E1196" s="40" t="s">
        <v>113</v>
      </c>
      <c r="F1196" s="295">
        <f t="shared" si="184"/>
        <v>174.425</v>
      </c>
      <c r="G1196" s="295">
        <v>9.18668</v>
      </c>
      <c r="H1196" s="295">
        <v>22.88</v>
      </c>
      <c r="I1196" s="295">
        <v>142.35832000000002</v>
      </c>
      <c r="J1196" s="297">
        <v>4236.22</v>
      </c>
      <c r="K1196" s="295">
        <v>142.358</v>
      </c>
      <c r="L1196" s="297">
        <v>4236.22</v>
      </c>
      <c r="M1196" s="289">
        <f t="shared" si="185"/>
        <v>0.03360495913809953</v>
      </c>
      <c r="N1196" s="290">
        <v>288.96</v>
      </c>
      <c r="O1196" s="290">
        <f t="shared" si="186"/>
        <v>9.710488992545239</v>
      </c>
      <c r="P1196" s="284">
        <f t="shared" si="187"/>
        <v>2016.2975482859715</v>
      </c>
      <c r="Q1196" s="291">
        <f t="shared" si="188"/>
        <v>582.6293395527142</v>
      </c>
    </row>
    <row r="1197" spans="1:17" ht="11.25">
      <c r="A1197" s="930"/>
      <c r="B1197" s="40">
        <v>7</v>
      </c>
      <c r="C1197" s="45" t="s">
        <v>916</v>
      </c>
      <c r="D1197" s="40">
        <v>7</v>
      </c>
      <c r="E1197" s="40">
        <v>1986</v>
      </c>
      <c r="F1197" s="295">
        <f t="shared" si="184"/>
        <v>15.146</v>
      </c>
      <c r="G1197" s="295">
        <v>1.1272</v>
      </c>
      <c r="H1197" s="295">
        <v>1.12</v>
      </c>
      <c r="I1197" s="295">
        <v>12.898800000000001</v>
      </c>
      <c r="J1197" s="297">
        <v>374.89</v>
      </c>
      <c r="K1197" s="295">
        <v>12.898800000000001</v>
      </c>
      <c r="L1197" s="297">
        <v>374.89</v>
      </c>
      <c r="M1197" s="289">
        <f t="shared" si="185"/>
        <v>0.03440689268852197</v>
      </c>
      <c r="N1197" s="290">
        <v>288.96</v>
      </c>
      <c r="O1197" s="290">
        <f t="shared" si="186"/>
        <v>9.942215711275308</v>
      </c>
      <c r="P1197" s="284">
        <f t="shared" si="187"/>
        <v>2064.4135613113185</v>
      </c>
      <c r="Q1197" s="291">
        <f t="shared" si="188"/>
        <v>596.5329426765186</v>
      </c>
    </row>
    <row r="1198" spans="1:17" ht="11.25">
      <c r="A1198" s="930"/>
      <c r="B1198" s="40">
        <v>8</v>
      </c>
      <c r="C1198" s="45" t="s">
        <v>917</v>
      </c>
      <c r="D1198" s="40">
        <v>18</v>
      </c>
      <c r="E1198" s="40">
        <v>1959</v>
      </c>
      <c r="F1198" s="295">
        <f t="shared" si="184"/>
        <v>27.079</v>
      </c>
      <c r="G1198" s="295">
        <v>1.01448</v>
      </c>
      <c r="H1198" s="295">
        <v>0.18</v>
      </c>
      <c r="I1198" s="295">
        <v>25.884520000000002</v>
      </c>
      <c r="J1198" s="297">
        <v>749.42</v>
      </c>
      <c r="K1198" s="295">
        <v>25.884520000000002</v>
      </c>
      <c r="L1198" s="297">
        <v>749.42</v>
      </c>
      <c r="M1198" s="289">
        <f t="shared" si="185"/>
        <v>0.03453940380560968</v>
      </c>
      <c r="N1198" s="290">
        <v>288.96</v>
      </c>
      <c r="O1198" s="290">
        <f t="shared" si="186"/>
        <v>9.980506123668972</v>
      </c>
      <c r="P1198" s="284">
        <f t="shared" si="187"/>
        <v>2072.3642283365807</v>
      </c>
      <c r="Q1198" s="291">
        <f t="shared" si="188"/>
        <v>598.8303674201384</v>
      </c>
    </row>
    <row r="1199" spans="1:17" ht="11.25">
      <c r="A1199" s="930"/>
      <c r="B1199" s="40">
        <v>9</v>
      </c>
      <c r="C1199" s="75" t="s">
        <v>918</v>
      </c>
      <c r="D1199" s="40">
        <v>74</v>
      </c>
      <c r="E1199" s="40">
        <v>1982</v>
      </c>
      <c r="F1199" s="295">
        <f t="shared" si="184"/>
        <v>88.977</v>
      </c>
      <c r="G1199" s="295">
        <v>4.11428</v>
      </c>
      <c r="H1199" s="295">
        <v>11.52</v>
      </c>
      <c r="I1199" s="295">
        <v>73.34272</v>
      </c>
      <c r="J1199" s="297">
        <v>2117.32</v>
      </c>
      <c r="K1199" s="295">
        <v>73.34272</v>
      </c>
      <c r="L1199" s="297">
        <v>2117.32</v>
      </c>
      <c r="M1199" s="289">
        <f t="shared" si="185"/>
        <v>0.03463941208697788</v>
      </c>
      <c r="N1199" s="40">
        <v>288.96</v>
      </c>
      <c r="O1199" s="290">
        <f t="shared" si="186"/>
        <v>10.009404516653127</v>
      </c>
      <c r="P1199" s="284">
        <f t="shared" si="187"/>
        <v>2078.364725218673</v>
      </c>
      <c r="Q1199" s="291">
        <f t="shared" si="188"/>
        <v>600.5642709991877</v>
      </c>
    </row>
    <row r="1200" spans="1:17" ht="12" thickBot="1">
      <c r="A1200" s="931"/>
      <c r="B1200" s="42">
        <v>10</v>
      </c>
      <c r="C1200" s="46"/>
      <c r="D1200" s="42"/>
      <c r="E1200" s="42"/>
      <c r="F1200" s="296"/>
      <c r="G1200" s="296"/>
      <c r="H1200" s="296"/>
      <c r="I1200" s="296"/>
      <c r="J1200" s="333"/>
      <c r="K1200" s="296"/>
      <c r="L1200" s="333"/>
      <c r="M1200" s="286"/>
      <c r="N1200" s="42"/>
      <c r="O1200" s="287"/>
      <c r="P1200" s="287"/>
      <c r="Q1200" s="288"/>
    </row>
    <row r="1203" spans="1:17" ht="15">
      <c r="A1203" s="907" t="s">
        <v>80</v>
      </c>
      <c r="B1203" s="907"/>
      <c r="C1203" s="907"/>
      <c r="D1203" s="907"/>
      <c r="E1203" s="907"/>
      <c r="F1203" s="907"/>
      <c r="G1203" s="907"/>
      <c r="H1203" s="907"/>
      <c r="I1203" s="907"/>
      <c r="J1203" s="907"/>
      <c r="K1203" s="907"/>
      <c r="L1203" s="907"/>
      <c r="M1203" s="907"/>
      <c r="N1203" s="907"/>
      <c r="O1203" s="907"/>
      <c r="P1203" s="907"/>
      <c r="Q1203" s="907"/>
    </row>
    <row r="1204" spans="1:17" ht="13.5" thickBot="1">
      <c r="A1204" s="934" t="s">
        <v>919</v>
      </c>
      <c r="B1204" s="934"/>
      <c r="C1204" s="934"/>
      <c r="D1204" s="934"/>
      <c r="E1204" s="934"/>
      <c r="F1204" s="934"/>
      <c r="G1204" s="934"/>
      <c r="H1204" s="934"/>
      <c r="I1204" s="934"/>
      <c r="J1204" s="934"/>
      <c r="K1204" s="934"/>
      <c r="L1204" s="934"/>
      <c r="M1204" s="934"/>
      <c r="N1204" s="934"/>
      <c r="O1204" s="934"/>
      <c r="P1204" s="934"/>
      <c r="Q1204" s="934"/>
    </row>
    <row r="1205" spans="1:17" ht="11.25">
      <c r="A1205" s="885" t="s">
        <v>1</v>
      </c>
      <c r="B1205" s="908" t="s">
        <v>0</v>
      </c>
      <c r="C1205" s="880" t="s">
        <v>2</v>
      </c>
      <c r="D1205" s="880" t="s">
        <v>3</v>
      </c>
      <c r="E1205" s="880" t="s">
        <v>13</v>
      </c>
      <c r="F1205" s="911" t="s">
        <v>14</v>
      </c>
      <c r="G1205" s="912"/>
      <c r="H1205" s="912"/>
      <c r="I1205" s="913"/>
      <c r="J1205" s="880" t="s">
        <v>4</v>
      </c>
      <c r="K1205" s="880" t="s">
        <v>15</v>
      </c>
      <c r="L1205" s="880" t="s">
        <v>5</v>
      </c>
      <c r="M1205" s="880" t="s">
        <v>6</v>
      </c>
      <c r="N1205" s="880" t="s">
        <v>16</v>
      </c>
      <c r="O1205" s="880" t="s">
        <v>17</v>
      </c>
      <c r="P1205" s="920" t="s">
        <v>25</v>
      </c>
      <c r="Q1205" s="890" t="s">
        <v>26</v>
      </c>
    </row>
    <row r="1206" spans="1:17" ht="33.75">
      <c r="A1206" s="886"/>
      <c r="B1206" s="909"/>
      <c r="C1206" s="888"/>
      <c r="D1206" s="881"/>
      <c r="E1206" s="881"/>
      <c r="F1206" s="36" t="s">
        <v>18</v>
      </c>
      <c r="G1206" s="36" t="s">
        <v>19</v>
      </c>
      <c r="H1206" s="36" t="s">
        <v>20</v>
      </c>
      <c r="I1206" s="36" t="s">
        <v>21</v>
      </c>
      <c r="J1206" s="881"/>
      <c r="K1206" s="881"/>
      <c r="L1206" s="881"/>
      <c r="M1206" s="881"/>
      <c r="N1206" s="881"/>
      <c r="O1206" s="881"/>
      <c r="P1206" s="921"/>
      <c r="Q1206" s="891"/>
    </row>
    <row r="1207" spans="1:17" ht="12" thickBot="1">
      <c r="A1207" s="886"/>
      <c r="B1207" s="909"/>
      <c r="C1207" s="889"/>
      <c r="D1207" s="52" t="s">
        <v>7</v>
      </c>
      <c r="E1207" s="52" t="s">
        <v>8</v>
      </c>
      <c r="F1207" s="52" t="s">
        <v>9</v>
      </c>
      <c r="G1207" s="52" t="s">
        <v>9</v>
      </c>
      <c r="H1207" s="52" t="s">
        <v>9</v>
      </c>
      <c r="I1207" s="52" t="s">
        <v>9</v>
      </c>
      <c r="J1207" s="52" t="s">
        <v>22</v>
      </c>
      <c r="K1207" s="52" t="s">
        <v>9</v>
      </c>
      <c r="L1207" s="52" t="s">
        <v>22</v>
      </c>
      <c r="M1207" s="52" t="s">
        <v>23</v>
      </c>
      <c r="N1207" s="52" t="s">
        <v>10</v>
      </c>
      <c r="O1207" s="52" t="s">
        <v>24</v>
      </c>
      <c r="P1207" s="59" t="s">
        <v>27</v>
      </c>
      <c r="Q1207" s="54" t="s">
        <v>28</v>
      </c>
    </row>
    <row r="1208" spans="1:17" ht="11.25">
      <c r="A1208" s="947" t="s">
        <v>11</v>
      </c>
      <c r="B1208" s="90">
        <v>1</v>
      </c>
      <c r="C1208" s="241" t="s">
        <v>921</v>
      </c>
      <c r="D1208" s="191">
        <v>26</v>
      </c>
      <c r="E1208" s="191" t="s">
        <v>113</v>
      </c>
      <c r="F1208" s="472">
        <v>31.078</v>
      </c>
      <c r="G1208" s="472">
        <f>48*0.051</f>
        <v>2.448</v>
      </c>
      <c r="H1208" s="472">
        <f>26*0.16</f>
        <v>4.16</v>
      </c>
      <c r="I1208" s="348">
        <f>+F1208-G1208-H1208</f>
        <v>24.47</v>
      </c>
      <c r="J1208" s="694"/>
      <c r="K1208" s="814">
        <f>+I1208</f>
        <v>24.47</v>
      </c>
      <c r="L1208" s="478">
        <v>1332.27</v>
      </c>
      <c r="M1208" s="844">
        <f>K1208/L1208</f>
        <v>0.018367147800370794</v>
      </c>
      <c r="N1208" s="190">
        <v>341.6</v>
      </c>
      <c r="O1208" s="436">
        <f>M1208*N1208</f>
        <v>6.274217688606663</v>
      </c>
      <c r="P1208" s="436">
        <f>M1208*60*1000</f>
        <v>1102.0288680222477</v>
      </c>
      <c r="Q1208" s="845">
        <f>P1208*N1208/1000</f>
        <v>376.45306131639984</v>
      </c>
    </row>
    <row r="1209" spans="1:17" ht="11.25">
      <c r="A1209" s="948"/>
      <c r="B1209" s="87">
        <v>2</v>
      </c>
      <c r="C1209" s="241" t="s">
        <v>922</v>
      </c>
      <c r="D1209" s="191">
        <v>20</v>
      </c>
      <c r="E1209" s="191" t="s">
        <v>113</v>
      </c>
      <c r="F1209" s="348">
        <v>29.45</v>
      </c>
      <c r="G1209" s="348">
        <f>33*0.051</f>
        <v>1.6829999999999998</v>
      </c>
      <c r="H1209" s="348">
        <f>25*0.16</f>
        <v>4</v>
      </c>
      <c r="I1209" s="348">
        <f>+F1209-G1209-H1209</f>
        <v>23.767</v>
      </c>
      <c r="J1209" s="695"/>
      <c r="K1209" s="808">
        <f>+I1209</f>
        <v>23.767</v>
      </c>
      <c r="L1209" s="350">
        <v>1276.41</v>
      </c>
      <c r="M1209" s="844">
        <f>K1209/L1209</f>
        <v>0.018620192571352463</v>
      </c>
      <c r="N1209" s="190">
        <v>341.6</v>
      </c>
      <c r="O1209" s="436">
        <f>M1209*N1209</f>
        <v>6.360657782374002</v>
      </c>
      <c r="P1209" s="436">
        <f>M1209*60*1000</f>
        <v>1117.2115542811478</v>
      </c>
      <c r="Q1209" s="845">
        <f>P1209*N1209/1000</f>
        <v>381.6394669424401</v>
      </c>
    </row>
    <row r="1210" spans="1:17" ht="11.25">
      <c r="A1210" s="948"/>
      <c r="B1210" s="87">
        <v>3</v>
      </c>
      <c r="C1210" s="16"/>
      <c r="D1210" s="31"/>
      <c r="E1210" s="31"/>
      <c r="F1210" s="235"/>
      <c r="G1210" s="240"/>
      <c r="H1210" s="240"/>
      <c r="I1210" s="240"/>
      <c r="J1210" s="161"/>
      <c r="K1210" s="122"/>
      <c r="L1210" s="163"/>
      <c r="M1210" s="122"/>
      <c r="N1210" s="190"/>
      <c r="O1210" s="121"/>
      <c r="P1210" s="238"/>
      <c r="Q1210" s="123"/>
    </row>
    <row r="1211" spans="1:17" ht="11.25">
      <c r="A1211" s="948"/>
      <c r="B1211" s="31">
        <v>4</v>
      </c>
      <c r="C1211" s="16"/>
      <c r="D1211" s="31"/>
      <c r="E1211" s="31"/>
      <c r="F1211" s="235"/>
      <c r="G1211" s="135"/>
      <c r="H1211" s="135"/>
      <c r="I1211" s="135"/>
      <c r="J1211" s="161"/>
      <c r="K1211" s="122"/>
      <c r="L1211" s="163"/>
      <c r="M1211" s="122"/>
      <c r="N1211" s="190"/>
      <c r="O1211" s="121"/>
      <c r="P1211" s="238"/>
      <c r="Q1211" s="123"/>
    </row>
    <row r="1212" spans="1:17" ht="11.25">
      <c r="A1212" s="948"/>
      <c r="B1212" s="31">
        <v>5</v>
      </c>
      <c r="C1212" s="16"/>
      <c r="D1212" s="31"/>
      <c r="E1212" s="31"/>
      <c r="F1212" s="235"/>
      <c r="G1212" s="135"/>
      <c r="H1212" s="135"/>
      <c r="I1212" s="135"/>
      <c r="J1212" s="161"/>
      <c r="K1212" s="122"/>
      <c r="L1212" s="163"/>
      <c r="M1212" s="122"/>
      <c r="N1212" s="190"/>
      <c r="O1212" s="121"/>
      <c r="P1212" s="238"/>
      <c r="Q1212" s="123"/>
    </row>
    <row r="1213" spans="1:17" ht="11.25">
      <c r="A1213" s="948"/>
      <c r="B1213" s="31">
        <v>6</v>
      </c>
      <c r="C1213" s="16"/>
      <c r="D1213" s="31"/>
      <c r="E1213" s="31"/>
      <c r="F1213" s="235"/>
      <c r="G1213" s="135"/>
      <c r="H1213" s="135"/>
      <c r="I1213" s="135"/>
      <c r="J1213" s="161"/>
      <c r="K1213" s="122"/>
      <c r="L1213" s="163"/>
      <c r="M1213" s="122"/>
      <c r="N1213" s="190"/>
      <c r="O1213" s="121"/>
      <c r="P1213" s="238"/>
      <c r="Q1213" s="123"/>
    </row>
    <row r="1214" spans="1:17" ht="11.25">
      <c r="A1214" s="948"/>
      <c r="B1214" s="31">
        <v>7</v>
      </c>
      <c r="C1214" s="16"/>
      <c r="D1214" s="31"/>
      <c r="E1214" s="31"/>
      <c r="F1214" s="235"/>
      <c r="G1214" s="135"/>
      <c r="H1214" s="135"/>
      <c r="I1214" s="135"/>
      <c r="J1214" s="161"/>
      <c r="K1214" s="122"/>
      <c r="L1214" s="163"/>
      <c r="M1214" s="122"/>
      <c r="N1214" s="190"/>
      <c r="O1214" s="121"/>
      <c r="P1214" s="238"/>
      <c r="Q1214" s="123"/>
    </row>
    <row r="1215" spans="1:17" ht="12" thickBot="1">
      <c r="A1215" s="949"/>
      <c r="B1215" s="57">
        <v>8</v>
      </c>
      <c r="C1215" s="58"/>
      <c r="D1215" s="57"/>
      <c r="E1215" s="57"/>
      <c r="F1215" s="633"/>
      <c r="G1215" s="203"/>
      <c r="H1215" s="203"/>
      <c r="I1215" s="203"/>
      <c r="J1215" s="565"/>
      <c r="K1215" s="125"/>
      <c r="L1215" s="311"/>
      <c r="M1215" s="125"/>
      <c r="N1215" s="634"/>
      <c r="O1215" s="124"/>
      <c r="P1215" s="584"/>
      <c r="Q1215" s="126"/>
    </row>
    <row r="1216" spans="1:17" ht="11.25">
      <c r="A1216" s="936" t="s">
        <v>29</v>
      </c>
      <c r="B1216" s="60">
        <v>1</v>
      </c>
      <c r="C1216" s="186" t="s">
        <v>923</v>
      </c>
      <c r="D1216" s="139">
        <v>40</v>
      </c>
      <c r="E1216" s="139" t="s">
        <v>113</v>
      </c>
      <c r="F1216" s="537">
        <v>53.993</v>
      </c>
      <c r="G1216" s="537">
        <f>53*0.051</f>
        <v>2.703</v>
      </c>
      <c r="H1216" s="537">
        <v>7.2</v>
      </c>
      <c r="I1216" s="537">
        <f aca="true" t="shared" si="189" ref="I1216:I1224">+F1216-G1216-H1216</f>
        <v>44.089999999999996</v>
      </c>
      <c r="J1216" s="632"/>
      <c r="K1216" s="847">
        <f aca="true" t="shared" si="190" ref="K1216:K1224">+I1216</f>
        <v>44.089999999999996</v>
      </c>
      <c r="L1216" s="538">
        <v>2347.81</v>
      </c>
      <c r="M1216" s="504">
        <f aca="true" t="shared" si="191" ref="M1216:M1224">K1216/L1216</f>
        <v>0.01877920274638919</v>
      </c>
      <c r="N1216" s="505">
        <v>341.6</v>
      </c>
      <c r="O1216" s="846">
        <f aca="true" t="shared" si="192" ref="O1216:O1224">M1216*N1216</f>
        <v>6.414975658166547</v>
      </c>
      <c r="P1216" s="846">
        <f aca="true" t="shared" si="193" ref="P1216:P1224">M1216*60*1000</f>
        <v>1126.7521647833514</v>
      </c>
      <c r="Q1216" s="455">
        <f aca="true" t="shared" si="194" ref="Q1216:Q1224">P1216*N1216/1000</f>
        <v>384.8985394899929</v>
      </c>
    </row>
    <row r="1217" spans="1:17" ht="11.25">
      <c r="A1217" s="926"/>
      <c r="B1217" s="95">
        <v>2</v>
      </c>
      <c r="C1217" s="174" t="s">
        <v>924</v>
      </c>
      <c r="D1217" s="140">
        <v>30</v>
      </c>
      <c r="E1217" s="140" t="s">
        <v>113</v>
      </c>
      <c r="F1217" s="183">
        <v>38.023</v>
      </c>
      <c r="G1217" s="183">
        <f>51*0.051</f>
        <v>2.601</v>
      </c>
      <c r="H1217" s="183">
        <f>30*0.16</f>
        <v>4.8</v>
      </c>
      <c r="I1217" s="183">
        <f t="shared" si="189"/>
        <v>30.622000000000003</v>
      </c>
      <c r="J1217" s="562"/>
      <c r="K1217" s="809">
        <f t="shared" si="190"/>
        <v>30.622000000000003</v>
      </c>
      <c r="L1217" s="351">
        <v>1626.42</v>
      </c>
      <c r="M1217" s="146">
        <f t="shared" si="191"/>
        <v>0.018827855043592676</v>
      </c>
      <c r="N1217" s="505">
        <v>341.6</v>
      </c>
      <c r="O1217" s="506">
        <f t="shared" si="192"/>
        <v>6.431595282891259</v>
      </c>
      <c r="P1217" s="506">
        <f t="shared" si="193"/>
        <v>1129.6713026155605</v>
      </c>
      <c r="Q1217" s="149">
        <f t="shared" si="194"/>
        <v>385.89571697347554</v>
      </c>
    </row>
    <row r="1218" spans="1:17" ht="11.25">
      <c r="A1218" s="926"/>
      <c r="B1218" s="35">
        <v>3</v>
      </c>
      <c r="C1218" s="174" t="s">
        <v>925</v>
      </c>
      <c r="D1218" s="140">
        <v>26</v>
      </c>
      <c r="E1218" s="140" t="s">
        <v>113</v>
      </c>
      <c r="F1218" s="183">
        <v>38</v>
      </c>
      <c r="G1218" s="183">
        <f>43.2*0.051</f>
        <v>2.2032</v>
      </c>
      <c r="H1218" s="183">
        <f>30*0.16</f>
        <v>4.8</v>
      </c>
      <c r="I1218" s="183">
        <f t="shared" si="189"/>
        <v>30.996799999999997</v>
      </c>
      <c r="J1218" s="562"/>
      <c r="K1218" s="809">
        <f t="shared" si="190"/>
        <v>30.996799999999997</v>
      </c>
      <c r="L1218" s="351">
        <v>1592.1</v>
      </c>
      <c r="M1218" s="146">
        <f t="shared" si="191"/>
        <v>0.01946912882356636</v>
      </c>
      <c r="N1218" s="505">
        <v>341.6</v>
      </c>
      <c r="O1218" s="148">
        <f t="shared" si="192"/>
        <v>6.650654406130269</v>
      </c>
      <c r="P1218" s="506">
        <f t="shared" si="193"/>
        <v>1168.1477294139816</v>
      </c>
      <c r="Q1218" s="149">
        <f t="shared" si="194"/>
        <v>399.0392643678161</v>
      </c>
    </row>
    <row r="1219" spans="1:17" ht="11.25">
      <c r="A1219" s="926"/>
      <c r="B1219" s="35">
        <v>4</v>
      </c>
      <c r="C1219" s="174" t="s">
        <v>926</v>
      </c>
      <c r="D1219" s="140">
        <v>20</v>
      </c>
      <c r="E1219" s="140" t="s">
        <v>113</v>
      </c>
      <c r="F1219" s="183">
        <v>25.17</v>
      </c>
      <c r="G1219" s="183">
        <f>15*0.051</f>
        <v>0.7649999999999999</v>
      </c>
      <c r="H1219" s="183">
        <f>20*0.16</f>
        <v>3.2</v>
      </c>
      <c r="I1219" s="183">
        <f t="shared" si="189"/>
        <v>21.205000000000002</v>
      </c>
      <c r="J1219" s="562"/>
      <c r="K1219" s="809">
        <f t="shared" si="190"/>
        <v>21.205000000000002</v>
      </c>
      <c r="L1219" s="351">
        <v>1062</v>
      </c>
      <c r="M1219" s="146">
        <f t="shared" si="191"/>
        <v>0.019967043314500943</v>
      </c>
      <c r="N1219" s="147">
        <f>+N1216</f>
        <v>341.6</v>
      </c>
      <c r="O1219" s="148">
        <f t="shared" si="192"/>
        <v>6.820741996233522</v>
      </c>
      <c r="P1219" s="506">
        <f t="shared" si="193"/>
        <v>1198.0225988700565</v>
      </c>
      <c r="Q1219" s="149">
        <f t="shared" si="194"/>
        <v>409.24451977401134</v>
      </c>
    </row>
    <row r="1220" spans="1:17" ht="11.25">
      <c r="A1220" s="926"/>
      <c r="B1220" s="35">
        <v>5</v>
      </c>
      <c r="C1220" s="174" t="s">
        <v>927</v>
      </c>
      <c r="D1220" s="140">
        <v>32</v>
      </c>
      <c r="E1220" s="140" t="s">
        <v>113</v>
      </c>
      <c r="F1220" s="183">
        <v>43.46</v>
      </c>
      <c r="G1220" s="183">
        <f>45.1*0.051</f>
        <v>2.3001</v>
      </c>
      <c r="H1220" s="183">
        <v>5.12</v>
      </c>
      <c r="I1220" s="183">
        <f t="shared" si="189"/>
        <v>36.0399</v>
      </c>
      <c r="J1220" s="562"/>
      <c r="K1220" s="809">
        <f t="shared" si="190"/>
        <v>36.0399</v>
      </c>
      <c r="L1220" s="351">
        <v>1803.8</v>
      </c>
      <c r="M1220" s="146">
        <f t="shared" si="191"/>
        <v>0.01997998669475552</v>
      </c>
      <c r="N1220" s="147">
        <f>+N1218</f>
        <v>341.6</v>
      </c>
      <c r="O1220" s="148">
        <f t="shared" si="192"/>
        <v>6.825163454928486</v>
      </c>
      <c r="P1220" s="506">
        <f t="shared" si="193"/>
        <v>1198.7992016853311</v>
      </c>
      <c r="Q1220" s="149">
        <f t="shared" si="194"/>
        <v>409.50980729570915</v>
      </c>
    </row>
    <row r="1221" spans="1:17" ht="11.25">
      <c r="A1221" s="926"/>
      <c r="B1221" s="35">
        <v>6</v>
      </c>
      <c r="C1221" s="174" t="s">
        <v>920</v>
      </c>
      <c r="D1221" s="140">
        <v>20</v>
      </c>
      <c r="E1221" s="140">
        <v>2011</v>
      </c>
      <c r="F1221" s="183">
        <v>27.456</v>
      </c>
      <c r="G1221" s="183">
        <f>57.71*0.051</f>
        <v>2.9432099999999997</v>
      </c>
      <c r="H1221" s="183">
        <f>20*0.08</f>
        <v>1.6</v>
      </c>
      <c r="I1221" s="183">
        <f t="shared" si="189"/>
        <v>22.912789999999998</v>
      </c>
      <c r="J1221" s="562"/>
      <c r="K1221" s="809">
        <f t="shared" si="190"/>
        <v>22.912789999999998</v>
      </c>
      <c r="L1221" s="351">
        <v>1113.2</v>
      </c>
      <c r="M1221" s="146">
        <f t="shared" si="191"/>
        <v>0.02058281530722242</v>
      </c>
      <c r="N1221" s="147">
        <v>341.6</v>
      </c>
      <c r="O1221" s="148">
        <f t="shared" si="192"/>
        <v>7.031089708947179</v>
      </c>
      <c r="P1221" s="506">
        <f t="shared" si="193"/>
        <v>1234.9689184333452</v>
      </c>
      <c r="Q1221" s="149">
        <f t="shared" si="194"/>
        <v>421.86538253683074</v>
      </c>
    </row>
    <row r="1222" spans="1:17" ht="11.25">
      <c r="A1222" s="926"/>
      <c r="B1222" s="35">
        <v>7</v>
      </c>
      <c r="C1222" s="174" t="s">
        <v>928</v>
      </c>
      <c r="D1222" s="140">
        <v>30</v>
      </c>
      <c r="E1222" s="140" t="s">
        <v>113</v>
      </c>
      <c r="F1222" s="183">
        <v>39.665</v>
      </c>
      <c r="G1222" s="183">
        <f>37*0.051</f>
        <v>1.8869999999999998</v>
      </c>
      <c r="H1222" s="183">
        <f>30*0.16</f>
        <v>4.8</v>
      </c>
      <c r="I1222" s="183">
        <f t="shared" si="189"/>
        <v>32.978</v>
      </c>
      <c r="J1222" s="562"/>
      <c r="K1222" s="809">
        <f t="shared" si="190"/>
        <v>32.978</v>
      </c>
      <c r="L1222" s="351">
        <v>1602.12</v>
      </c>
      <c r="M1222" s="146">
        <f t="shared" si="191"/>
        <v>0.020583976231493273</v>
      </c>
      <c r="N1222" s="147">
        <v>341.6</v>
      </c>
      <c r="O1222" s="148">
        <f t="shared" si="192"/>
        <v>7.031486280678102</v>
      </c>
      <c r="P1222" s="506">
        <f t="shared" si="193"/>
        <v>1235.0385738895964</v>
      </c>
      <c r="Q1222" s="149">
        <f t="shared" si="194"/>
        <v>421.8891768406861</v>
      </c>
    </row>
    <row r="1223" spans="1:17" ht="11.25">
      <c r="A1223" s="926"/>
      <c r="B1223" s="35">
        <v>8</v>
      </c>
      <c r="C1223" s="174" t="s">
        <v>929</v>
      </c>
      <c r="D1223" s="140">
        <v>40</v>
      </c>
      <c r="E1223" s="140" t="s">
        <v>113</v>
      </c>
      <c r="F1223" s="183">
        <v>57</v>
      </c>
      <c r="G1223" s="183">
        <f>58.25*0.051</f>
        <v>2.97075</v>
      </c>
      <c r="H1223" s="183">
        <f>40*0.16</f>
        <v>6.4</v>
      </c>
      <c r="I1223" s="183">
        <f t="shared" si="189"/>
        <v>47.62925</v>
      </c>
      <c r="J1223" s="562"/>
      <c r="K1223" s="809">
        <f t="shared" si="190"/>
        <v>47.62925</v>
      </c>
      <c r="L1223" s="351">
        <v>2283.76</v>
      </c>
      <c r="M1223" s="146">
        <f t="shared" si="191"/>
        <v>0.0208556284373139</v>
      </c>
      <c r="N1223" s="147">
        <f>+N1217</f>
        <v>341.6</v>
      </c>
      <c r="O1223" s="148">
        <f t="shared" si="192"/>
        <v>7.124282674186429</v>
      </c>
      <c r="P1223" s="506">
        <f t="shared" si="193"/>
        <v>1251.337706238834</v>
      </c>
      <c r="Q1223" s="149">
        <f t="shared" si="194"/>
        <v>427.4569604511857</v>
      </c>
    </row>
    <row r="1224" spans="1:17" ht="11.25">
      <c r="A1224" s="937"/>
      <c r="B1224" s="61">
        <v>9</v>
      </c>
      <c r="C1224" s="174" t="s">
        <v>930</v>
      </c>
      <c r="D1224" s="140">
        <v>40</v>
      </c>
      <c r="E1224" s="140" t="s">
        <v>113</v>
      </c>
      <c r="F1224" s="183">
        <v>56</v>
      </c>
      <c r="G1224" s="183">
        <f>60*0.051</f>
        <v>3.0599999999999996</v>
      </c>
      <c r="H1224" s="183">
        <f>40*0.16</f>
        <v>6.4</v>
      </c>
      <c r="I1224" s="183">
        <f t="shared" si="189"/>
        <v>46.54</v>
      </c>
      <c r="J1224" s="562"/>
      <c r="K1224" s="809">
        <f t="shared" si="190"/>
        <v>46.54</v>
      </c>
      <c r="L1224" s="351">
        <v>2231.32</v>
      </c>
      <c r="M1224" s="146">
        <f t="shared" si="191"/>
        <v>0.020857608948962943</v>
      </c>
      <c r="N1224" s="147">
        <f>+N1219</f>
        <v>341.6</v>
      </c>
      <c r="O1224" s="148">
        <f t="shared" si="192"/>
        <v>7.124959216965742</v>
      </c>
      <c r="P1224" s="148">
        <f t="shared" si="193"/>
        <v>1251.4565369377765</v>
      </c>
      <c r="Q1224" s="149">
        <f t="shared" si="194"/>
        <v>427.4975530179445</v>
      </c>
    </row>
    <row r="1225" spans="1:17" ht="12" thickBot="1">
      <c r="A1225" s="927"/>
      <c r="B1225" s="37">
        <v>10</v>
      </c>
      <c r="C1225" s="730"/>
      <c r="D1225" s="731"/>
      <c r="E1225" s="731"/>
      <c r="F1225" s="732"/>
      <c r="G1225" s="732"/>
      <c r="H1225" s="732"/>
      <c r="I1225" s="537"/>
      <c r="J1225" s="733"/>
      <c r="K1225" s="847"/>
      <c r="L1225" s="734"/>
      <c r="M1225" s="735"/>
      <c r="N1225" s="736"/>
      <c r="O1225" s="737"/>
      <c r="P1225" s="737"/>
      <c r="Q1225" s="738"/>
    </row>
    <row r="1226" spans="1:17" ht="11.25">
      <c r="A1226" s="917" t="s">
        <v>30</v>
      </c>
      <c r="B1226" s="218">
        <v>1</v>
      </c>
      <c r="C1226" s="229" t="s">
        <v>931</v>
      </c>
      <c r="D1226" s="223">
        <v>7</v>
      </c>
      <c r="E1226" s="223" t="s">
        <v>113</v>
      </c>
      <c r="F1226" s="512">
        <v>12.89</v>
      </c>
      <c r="G1226" s="512">
        <f>15.5*0.051</f>
        <v>0.7905</v>
      </c>
      <c r="H1226" s="512">
        <f>7*0.16</f>
        <v>1.12</v>
      </c>
      <c r="I1226" s="512">
        <f>+F1226-G1226-H1226</f>
        <v>10.979500000000002</v>
      </c>
      <c r="J1226" s="1063"/>
      <c r="K1226" s="825">
        <f aca="true" t="shared" si="195" ref="K1226:K1245">+I1226</f>
        <v>10.979500000000002</v>
      </c>
      <c r="L1226" s="481">
        <v>387.52</v>
      </c>
      <c r="M1226" s="456">
        <f aca="true" t="shared" si="196" ref="M1226:M1245">K1226/L1226</f>
        <v>0.02833273121387284</v>
      </c>
      <c r="N1226" s="457">
        <f>+N1221</f>
        <v>341.6</v>
      </c>
      <c r="O1226" s="458">
        <f aca="true" t="shared" si="197" ref="O1226:O1245">M1226*N1226</f>
        <v>9.678460982658963</v>
      </c>
      <c r="P1226" s="458">
        <f aca="true" t="shared" si="198" ref="P1226:P1245">M1226*60*1000</f>
        <v>1699.9638728323703</v>
      </c>
      <c r="Q1226" s="459">
        <f aca="true" t="shared" si="199" ref="Q1226:Q1245">P1226*N1226/1000</f>
        <v>580.7076589595378</v>
      </c>
    </row>
    <row r="1227" spans="1:17" ht="11.25">
      <c r="A1227" s="918"/>
      <c r="B1227" s="219">
        <v>2</v>
      </c>
      <c r="C1227" s="230" t="s">
        <v>932</v>
      </c>
      <c r="D1227" s="220">
        <v>9</v>
      </c>
      <c r="E1227" s="220" t="s">
        <v>113</v>
      </c>
      <c r="F1227" s="439">
        <v>17.443</v>
      </c>
      <c r="G1227" s="439">
        <f>20*0.051</f>
        <v>1.02</v>
      </c>
      <c r="H1227" s="439">
        <f>9*0.16</f>
        <v>1.44</v>
      </c>
      <c r="I1227" s="439">
        <f>+F1227-G1227-H1227</f>
        <v>14.983000000000002</v>
      </c>
      <c r="J1227" s="1066"/>
      <c r="K1227" s="810">
        <f t="shared" si="195"/>
        <v>14.983000000000002</v>
      </c>
      <c r="L1227" s="441">
        <v>515.76</v>
      </c>
      <c r="M1227" s="358">
        <f t="shared" si="196"/>
        <v>0.02905033348844424</v>
      </c>
      <c r="N1227" s="346">
        <f>+N1224</f>
        <v>341.6</v>
      </c>
      <c r="O1227" s="347">
        <f t="shared" si="197"/>
        <v>9.923593919652554</v>
      </c>
      <c r="P1227" s="458">
        <f t="shared" si="198"/>
        <v>1743.0200093066546</v>
      </c>
      <c r="Q1227" s="460">
        <f t="shared" si="199"/>
        <v>595.4156351791532</v>
      </c>
    </row>
    <row r="1228" spans="1:17" ht="11.25">
      <c r="A1228" s="918"/>
      <c r="B1228" s="219">
        <v>3</v>
      </c>
      <c r="C1228" s="230" t="s">
        <v>933</v>
      </c>
      <c r="D1228" s="220">
        <v>6</v>
      </c>
      <c r="E1228" s="220" t="s">
        <v>113</v>
      </c>
      <c r="F1228" s="439">
        <v>6.959</v>
      </c>
      <c r="G1228" s="439">
        <v>0</v>
      </c>
      <c r="H1228" s="439">
        <v>0</v>
      </c>
      <c r="I1228" s="439">
        <f>+F1228</f>
        <v>6.959</v>
      </c>
      <c r="J1228" s="1066"/>
      <c r="K1228" s="810">
        <f t="shared" si="195"/>
        <v>6.959</v>
      </c>
      <c r="L1228" s="441">
        <v>234.73</v>
      </c>
      <c r="M1228" s="358">
        <f t="shared" si="196"/>
        <v>0.029646828270779194</v>
      </c>
      <c r="N1228" s="346">
        <f>+N1225</f>
        <v>0</v>
      </c>
      <c r="O1228" s="347">
        <f t="shared" si="197"/>
        <v>0</v>
      </c>
      <c r="P1228" s="458">
        <f t="shared" si="198"/>
        <v>1778.8096962467516</v>
      </c>
      <c r="Q1228" s="460">
        <f t="shared" si="199"/>
        <v>0</v>
      </c>
    </row>
    <row r="1229" spans="1:17" ht="11.25">
      <c r="A1229" s="918"/>
      <c r="B1229" s="219">
        <v>4</v>
      </c>
      <c r="C1229" s="230" t="s">
        <v>934</v>
      </c>
      <c r="D1229" s="220">
        <v>18</v>
      </c>
      <c r="E1229" s="220" t="s">
        <v>113</v>
      </c>
      <c r="F1229" s="439">
        <v>33.906</v>
      </c>
      <c r="G1229" s="439">
        <f>43*0.051</f>
        <v>2.193</v>
      </c>
      <c r="H1229" s="439">
        <f>18*0.16</f>
        <v>2.88</v>
      </c>
      <c r="I1229" s="439">
        <f aca="true" t="shared" si="200" ref="I1229:I1245">+F1229-G1229-H1229</f>
        <v>28.833</v>
      </c>
      <c r="J1229" s="1066"/>
      <c r="K1229" s="810">
        <f t="shared" si="195"/>
        <v>28.833</v>
      </c>
      <c r="L1229" s="441">
        <v>967.79</v>
      </c>
      <c r="M1229" s="358">
        <f t="shared" si="196"/>
        <v>0.02979262029985844</v>
      </c>
      <c r="N1229" s="346">
        <f>+N1222</f>
        <v>341.6</v>
      </c>
      <c r="O1229" s="347">
        <f t="shared" si="197"/>
        <v>10.177159094431643</v>
      </c>
      <c r="P1229" s="458">
        <f t="shared" si="198"/>
        <v>1787.5572179915061</v>
      </c>
      <c r="Q1229" s="460">
        <f t="shared" si="199"/>
        <v>610.6295456658986</v>
      </c>
    </row>
    <row r="1230" spans="1:17" ht="11.25">
      <c r="A1230" s="918"/>
      <c r="B1230" s="219">
        <v>5</v>
      </c>
      <c r="C1230" s="230" t="s">
        <v>935</v>
      </c>
      <c r="D1230" s="220">
        <v>15</v>
      </c>
      <c r="E1230" s="220" t="s">
        <v>113</v>
      </c>
      <c r="F1230" s="439">
        <v>29.201</v>
      </c>
      <c r="G1230" s="439">
        <f>35.9*0.051</f>
        <v>1.8308999999999997</v>
      </c>
      <c r="H1230" s="439">
        <f>15*0.16</f>
        <v>2.4</v>
      </c>
      <c r="I1230" s="439">
        <f t="shared" si="200"/>
        <v>24.970100000000002</v>
      </c>
      <c r="J1230" s="1066"/>
      <c r="K1230" s="810">
        <f t="shared" si="195"/>
        <v>24.970100000000002</v>
      </c>
      <c r="L1230" s="441">
        <v>826.86</v>
      </c>
      <c r="M1230" s="358">
        <f t="shared" si="196"/>
        <v>0.03019870352901338</v>
      </c>
      <c r="N1230" s="346">
        <v>341.6</v>
      </c>
      <c r="O1230" s="347">
        <f t="shared" si="197"/>
        <v>10.315877125510971</v>
      </c>
      <c r="P1230" s="458">
        <f t="shared" si="198"/>
        <v>1811.9222117408026</v>
      </c>
      <c r="Q1230" s="460">
        <f t="shared" si="199"/>
        <v>618.9526275306581</v>
      </c>
    </row>
    <row r="1231" spans="1:17" ht="11.25">
      <c r="A1231" s="918"/>
      <c r="B1231" s="219">
        <v>6</v>
      </c>
      <c r="C1231" s="230" t="s">
        <v>936</v>
      </c>
      <c r="D1231" s="220">
        <v>14</v>
      </c>
      <c r="E1231" s="220" t="s">
        <v>113</v>
      </c>
      <c r="F1231" s="439">
        <v>20.077</v>
      </c>
      <c r="G1231" s="439">
        <f>13*0.051</f>
        <v>0.6629999999999999</v>
      </c>
      <c r="H1231" s="439">
        <f>14*0.01</f>
        <v>0.14</v>
      </c>
      <c r="I1231" s="439">
        <f t="shared" si="200"/>
        <v>19.274</v>
      </c>
      <c r="J1231" s="1066"/>
      <c r="K1231" s="810">
        <f t="shared" si="195"/>
        <v>19.274</v>
      </c>
      <c r="L1231" s="441">
        <v>635.91</v>
      </c>
      <c r="M1231" s="358">
        <f t="shared" si="196"/>
        <v>0.03030932050132881</v>
      </c>
      <c r="N1231" s="346">
        <f>+N1229</f>
        <v>341.6</v>
      </c>
      <c r="O1231" s="347">
        <f t="shared" si="197"/>
        <v>10.353663883253923</v>
      </c>
      <c r="P1231" s="458">
        <f t="shared" si="198"/>
        <v>1818.5592300797286</v>
      </c>
      <c r="Q1231" s="460">
        <f t="shared" si="199"/>
        <v>621.2198329952354</v>
      </c>
    </row>
    <row r="1232" spans="1:17" ht="11.25">
      <c r="A1232" s="918"/>
      <c r="B1232" s="219">
        <v>7</v>
      </c>
      <c r="C1232" s="230" t="s">
        <v>937</v>
      </c>
      <c r="D1232" s="220">
        <v>6</v>
      </c>
      <c r="E1232" s="220" t="s">
        <v>113</v>
      </c>
      <c r="F1232" s="439">
        <v>11.1</v>
      </c>
      <c r="G1232" s="439">
        <f>20*0.051</f>
        <v>1.02</v>
      </c>
      <c r="H1232" s="439">
        <f>6*0.01</f>
        <v>0.06</v>
      </c>
      <c r="I1232" s="439">
        <f t="shared" si="200"/>
        <v>10.02</v>
      </c>
      <c r="J1232" s="1066"/>
      <c r="K1232" s="810">
        <f t="shared" si="195"/>
        <v>10.02</v>
      </c>
      <c r="L1232" s="441">
        <v>325.38</v>
      </c>
      <c r="M1232" s="358">
        <f t="shared" si="196"/>
        <v>0.030794763046284344</v>
      </c>
      <c r="N1232" s="346">
        <f>+N1226</f>
        <v>341.6</v>
      </c>
      <c r="O1232" s="347">
        <f t="shared" si="197"/>
        <v>10.519491056610732</v>
      </c>
      <c r="P1232" s="458">
        <f t="shared" si="198"/>
        <v>1847.6857827770605</v>
      </c>
      <c r="Q1232" s="460">
        <f t="shared" si="199"/>
        <v>631.1694633966439</v>
      </c>
    </row>
    <row r="1233" spans="1:17" ht="11.25">
      <c r="A1233" s="918"/>
      <c r="B1233" s="219">
        <v>8</v>
      </c>
      <c r="C1233" s="230" t="s">
        <v>938</v>
      </c>
      <c r="D1233" s="220">
        <v>20</v>
      </c>
      <c r="E1233" s="220" t="s">
        <v>113</v>
      </c>
      <c r="F1233" s="439">
        <v>38.203</v>
      </c>
      <c r="G1233" s="439">
        <f>39.75*0.051</f>
        <v>2.02725</v>
      </c>
      <c r="H1233" s="439">
        <f>20*0.16</f>
        <v>3.2</v>
      </c>
      <c r="I1233" s="439">
        <f t="shared" si="200"/>
        <v>32.97575</v>
      </c>
      <c r="J1233" s="1066"/>
      <c r="K1233" s="810">
        <f t="shared" si="195"/>
        <v>32.97575</v>
      </c>
      <c r="L1233" s="441">
        <v>1047.37</v>
      </c>
      <c r="M1233" s="358">
        <f t="shared" si="196"/>
        <v>0.031484336958285994</v>
      </c>
      <c r="N1233" s="346">
        <v>341.6</v>
      </c>
      <c r="O1233" s="347">
        <f t="shared" si="197"/>
        <v>10.755049504950497</v>
      </c>
      <c r="P1233" s="458">
        <f t="shared" si="198"/>
        <v>1889.0602174971596</v>
      </c>
      <c r="Q1233" s="460">
        <f t="shared" si="199"/>
        <v>645.3029702970297</v>
      </c>
    </row>
    <row r="1234" spans="1:17" ht="11.25">
      <c r="A1234" s="935"/>
      <c r="B1234" s="231">
        <v>9</v>
      </c>
      <c r="C1234" s="230" t="s">
        <v>939</v>
      </c>
      <c r="D1234" s="220">
        <v>5</v>
      </c>
      <c r="E1234" s="220" t="s">
        <v>113</v>
      </c>
      <c r="F1234" s="439">
        <v>9.332</v>
      </c>
      <c r="G1234" s="439">
        <f>7*0.051</f>
        <v>0.357</v>
      </c>
      <c r="H1234" s="439">
        <f>6*0.16</f>
        <v>0.96</v>
      </c>
      <c r="I1234" s="439">
        <f t="shared" si="200"/>
        <v>8.015</v>
      </c>
      <c r="J1234" s="1066"/>
      <c r="K1234" s="810">
        <f t="shared" si="195"/>
        <v>8.015</v>
      </c>
      <c r="L1234" s="441">
        <v>253.85</v>
      </c>
      <c r="M1234" s="358">
        <f t="shared" si="196"/>
        <v>0.03157376403387828</v>
      </c>
      <c r="N1234" s="346">
        <f>+N1226</f>
        <v>341.6</v>
      </c>
      <c r="O1234" s="347">
        <f t="shared" si="197"/>
        <v>10.785597793972821</v>
      </c>
      <c r="P1234" s="458">
        <f t="shared" si="198"/>
        <v>1894.4258420326967</v>
      </c>
      <c r="Q1234" s="460">
        <f t="shared" si="199"/>
        <v>647.1358676383692</v>
      </c>
    </row>
    <row r="1235" spans="1:17" ht="12" thickBot="1">
      <c r="A1235" s="919"/>
      <c r="B1235" s="232">
        <v>10</v>
      </c>
      <c r="C1235" s="233" t="s">
        <v>940</v>
      </c>
      <c r="D1235" s="224">
        <v>18</v>
      </c>
      <c r="E1235" s="224" t="s">
        <v>113</v>
      </c>
      <c r="F1235" s="513">
        <v>33</v>
      </c>
      <c r="G1235" s="513">
        <f>15.75*0.051</f>
        <v>0.8032499999999999</v>
      </c>
      <c r="H1235" s="513">
        <f>18*0.16</f>
        <v>2.88</v>
      </c>
      <c r="I1235" s="513">
        <f t="shared" si="200"/>
        <v>29.316750000000003</v>
      </c>
      <c r="J1235" s="1070"/>
      <c r="K1235" s="826">
        <f t="shared" si="195"/>
        <v>29.316750000000003</v>
      </c>
      <c r="L1235" s="515">
        <v>902.28</v>
      </c>
      <c r="M1235" s="508">
        <f t="shared" si="196"/>
        <v>0.032491853969942815</v>
      </c>
      <c r="N1235" s="511">
        <v>341.6</v>
      </c>
      <c r="O1235" s="509">
        <f t="shared" si="197"/>
        <v>11.099217316132465</v>
      </c>
      <c r="P1235" s="509">
        <f t="shared" si="198"/>
        <v>1949.511238196569</v>
      </c>
      <c r="Q1235" s="510">
        <f t="shared" si="199"/>
        <v>665.9530389679479</v>
      </c>
    </row>
    <row r="1236" spans="1:17" ht="11.25">
      <c r="A1236" s="928" t="s">
        <v>12</v>
      </c>
      <c r="B1236" s="38">
        <v>1</v>
      </c>
      <c r="C1236" s="594" t="s">
        <v>941</v>
      </c>
      <c r="D1236" s="226">
        <v>25</v>
      </c>
      <c r="E1236" s="226" t="s">
        <v>113</v>
      </c>
      <c r="F1236" s="476">
        <v>42.754</v>
      </c>
      <c r="G1236" s="476">
        <f>41.1*0.051</f>
        <v>2.0961</v>
      </c>
      <c r="H1236" s="476">
        <v>3.6</v>
      </c>
      <c r="I1236" s="476">
        <f t="shared" si="200"/>
        <v>37.0579</v>
      </c>
      <c r="J1236" s="822"/>
      <c r="K1236" s="820">
        <f t="shared" si="195"/>
        <v>37.0579</v>
      </c>
      <c r="L1236" s="548">
        <v>1133.7</v>
      </c>
      <c r="M1236" s="823">
        <f t="shared" si="196"/>
        <v>0.032687571667989766</v>
      </c>
      <c r="N1236" s="550">
        <f>+N1229</f>
        <v>341.6</v>
      </c>
      <c r="O1236" s="551">
        <f t="shared" si="197"/>
        <v>11.166074481785305</v>
      </c>
      <c r="P1236" s="551">
        <f t="shared" si="198"/>
        <v>1961.254300079386</v>
      </c>
      <c r="Q1236" s="552">
        <f t="shared" si="199"/>
        <v>669.9644689071183</v>
      </c>
    </row>
    <row r="1237" spans="1:17" ht="11.25">
      <c r="A1237" s="929"/>
      <c r="B1237" s="73">
        <v>2</v>
      </c>
      <c r="C1237" s="154" t="s">
        <v>942</v>
      </c>
      <c r="D1237" s="142">
        <v>8</v>
      </c>
      <c r="E1237" s="142" t="s">
        <v>113</v>
      </c>
      <c r="F1237" s="292">
        <v>17.54</v>
      </c>
      <c r="G1237" s="292">
        <f>8*0.051</f>
        <v>0.408</v>
      </c>
      <c r="H1237" s="292">
        <f>8*0.01</f>
        <v>0.08</v>
      </c>
      <c r="I1237" s="292">
        <f t="shared" si="200"/>
        <v>17.052</v>
      </c>
      <c r="J1237" s="142"/>
      <c r="K1237" s="811">
        <f t="shared" si="195"/>
        <v>17.052</v>
      </c>
      <c r="L1237" s="442">
        <v>509.6</v>
      </c>
      <c r="M1237" s="150">
        <f t="shared" si="196"/>
        <v>0.03346153846153846</v>
      </c>
      <c r="N1237" s="142">
        <v>341.6</v>
      </c>
      <c r="O1237" s="152">
        <f t="shared" si="197"/>
        <v>11.430461538461538</v>
      </c>
      <c r="P1237" s="551">
        <f t="shared" si="198"/>
        <v>2007.6923076923076</v>
      </c>
      <c r="Q1237" s="153">
        <f t="shared" si="199"/>
        <v>685.8276923076924</v>
      </c>
    </row>
    <row r="1238" spans="1:17" ht="11.25">
      <c r="A1238" s="929"/>
      <c r="B1238" s="73">
        <v>3</v>
      </c>
      <c r="C1238" s="154" t="s">
        <v>943</v>
      </c>
      <c r="D1238" s="142">
        <v>5</v>
      </c>
      <c r="E1238" s="142" t="s">
        <v>113</v>
      </c>
      <c r="F1238" s="292">
        <v>8.534</v>
      </c>
      <c r="G1238" s="292">
        <f>7*0.051</f>
        <v>0.357</v>
      </c>
      <c r="H1238" s="292">
        <f>5*0.16</f>
        <v>0.8</v>
      </c>
      <c r="I1238" s="292">
        <f t="shared" si="200"/>
        <v>7.377000000000002</v>
      </c>
      <c r="J1238" s="177"/>
      <c r="K1238" s="811">
        <f t="shared" si="195"/>
        <v>7.377000000000002</v>
      </c>
      <c r="L1238" s="442">
        <v>220.11</v>
      </c>
      <c r="M1238" s="150">
        <f t="shared" si="196"/>
        <v>0.03351506065149244</v>
      </c>
      <c r="N1238" s="151">
        <f>+N1235</f>
        <v>341.6</v>
      </c>
      <c r="O1238" s="152">
        <f t="shared" si="197"/>
        <v>11.448744718549818</v>
      </c>
      <c r="P1238" s="551">
        <f t="shared" si="198"/>
        <v>2010.9036390895465</v>
      </c>
      <c r="Q1238" s="153">
        <f t="shared" si="199"/>
        <v>686.9246831129891</v>
      </c>
    </row>
    <row r="1239" spans="1:17" ht="11.25">
      <c r="A1239" s="930"/>
      <c r="B1239" s="40">
        <v>4</v>
      </c>
      <c r="C1239" s="234" t="s">
        <v>944</v>
      </c>
      <c r="D1239" s="142">
        <v>4</v>
      </c>
      <c r="E1239" s="142" t="s">
        <v>113</v>
      </c>
      <c r="F1239" s="292">
        <v>8.763</v>
      </c>
      <c r="G1239" s="292">
        <f>7*0.051</f>
        <v>0.357</v>
      </c>
      <c r="H1239" s="292">
        <f>4*0.16</f>
        <v>0.64</v>
      </c>
      <c r="I1239" s="292">
        <f t="shared" si="200"/>
        <v>7.766000000000001</v>
      </c>
      <c r="J1239" s="142"/>
      <c r="K1239" s="811">
        <f t="shared" si="195"/>
        <v>7.766000000000001</v>
      </c>
      <c r="L1239" s="442">
        <v>228.62</v>
      </c>
      <c r="M1239" s="150">
        <f t="shared" si="196"/>
        <v>0.03396903158078909</v>
      </c>
      <c r="N1239" s="151">
        <f>+N1231</f>
        <v>341.6</v>
      </c>
      <c r="O1239" s="152">
        <f t="shared" si="197"/>
        <v>11.603821187997553</v>
      </c>
      <c r="P1239" s="551">
        <f t="shared" si="198"/>
        <v>2038.1418948473452</v>
      </c>
      <c r="Q1239" s="153">
        <f t="shared" si="199"/>
        <v>696.2292712798532</v>
      </c>
    </row>
    <row r="1240" spans="1:17" ht="11.25">
      <c r="A1240" s="930"/>
      <c r="B1240" s="40">
        <v>5</v>
      </c>
      <c r="C1240" s="154" t="s">
        <v>945</v>
      </c>
      <c r="D1240" s="142">
        <v>8</v>
      </c>
      <c r="E1240" s="142" t="s">
        <v>113</v>
      </c>
      <c r="F1240" s="292">
        <v>13.748</v>
      </c>
      <c r="G1240" s="292"/>
      <c r="H1240" s="292"/>
      <c r="I1240" s="292">
        <f t="shared" si="200"/>
        <v>13.748</v>
      </c>
      <c r="J1240" s="177"/>
      <c r="K1240" s="811">
        <f t="shared" si="195"/>
        <v>13.748</v>
      </c>
      <c r="L1240" s="442">
        <v>397.8</v>
      </c>
      <c r="M1240" s="150">
        <f t="shared" si="196"/>
        <v>0.03456008044243338</v>
      </c>
      <c r="N1240" s="151">
        <f>+N1238</f>
        <v>341.6</v>
      </c>
      <c r="O1240" s="152">
        <f t="shared" si="197"/>
        <v>11.805723479135244</v>
      </c>
      <c r="P1240" s="551">
        <f t="shared" si="198"/>
        <v>2073.6048265460026</v>
      </c>
      <c r="Q1240" s="153">
        <f t="shared" si="199"/>
        <v>708.3434087481146</v>
      </c>
    </row>
    <row r="1241" spans="1:17" ht="11.25">
      <c r="A1241" s="930"/>
      <c r="B1241" s="40">
        <v>6</v>
      </c>
      <c r="C1241" s="154" t="s">
        <v>946</v>
      </c>
      <c r="D1241" s="142">
        <v>7</v>
      </c>
      <c r="E1241" s="142" t="s">
        <v>113</v>
      </c>
      <c r="F1241" s="292">
        <v>13.245</v>
      </c>
      <c r="G1241" s="292"/>
      <c r="H1241" s="292"/>
      <c r="I1241" s="292">
        <f t="shared" si="200"/>
        <v>13.245</v>
      </c>
      <c r="J1241" s="177"/>
      <c r="K1241" s="811">
        <f t="shared" si="195"/>
        <v>13.245</v>
      </c>
      <c r="L1241" s="442">
        <v>366.1</v>
      </c>
      <c r="M1241" s="150">
        <f t="shared" si="196"/>
        <v>0.03617863971592461</v>
      </c>
      <c r="N1241" s="151">
        <f>+N1235</f>
        <v>341.6</v>
      </c>
      <c r="O1241" s="152">
        <f t="shared" si="197"/>
        <v>12.358623326959847</v>
      </c>
      <c r="P1241" s="551">
        <f t="shared" si="198"/>
        <v>2170.7183829554765</v>
      </c>
      <c r="Q1241" s="153">
        <f t="shared" si="199"/>
        <v>741.5173996175909</v>
      </c>
    </row>
    <row r="1242" spans="1:17" ht="11.25">
      <c r="A1242" s="930"/>
      <c r="B1242" s="40">
        <v>7</v>
      </c>
      <c r="C1242" s="154" t="s">
        <v>947</v>
      </c>
      <c r="D1242" s="142">
        <v>8</v>
      </c>
      <c r="E1242" s="142" t="s">
        <v>113</v>
      </c>
      <c r="F1242" s="292">
        <v>11.28</v>
      </c>
      <c r="G1242" s="292">
        <f>8*0.051</f>
        <v>0.408</v>
      </c>
      <c r="H1242" s="292">
        <v>1.2</v>
      </c>
      <c r="I1242" s="292">
        <f t="shared" si="200"/>
        <v>9.672</v>
      </c>
      <c r="J1242" s="177"/>
      <c r="K1242" s="811">
        <f t="shared" si="195"/>
        <v>9.672</v>
      </c>
      <c r="L1242" s="442">
        <v>265.25</v>
      </c>
      <c r="M1242" s="150">
        <f t="shared" si="196"/>
        <v>0.03646371347785109</v>
      </c>
      <c r="N1242" s="151">
        <f>+N1237</f>
        <v>341.6</v>
      </c>
      <c r="O1242" s="152">
        <f t="shared" si="197"/>
        <v>12.456004524033933</v>
      </c>
      <c r="P1242" s="551">
        <f t="shared" si="198"/>
        <v>2187.8228086710656</v>
      </c>
      <c r="Q1242" s="153">
        <f t="shared" si="199"/>
        <v>747.360271442036</v>
      </c>
    </row>
    <row r="1243" spans="1:17" ht="11.25">
      <c r="A1243" s="930"/>
      <c r="B1243" s="40">
        <v>8</v>
      </c>
      <c r="C1243" s="154" t="s">
        <v>948</v>
      </c>
      <c r="D1243" s="142">
        <v>3</v>
      </c>
      <c r="E1243" s="142" t="s">
        <v>113</v>
      </c>
      <c r="F1243" s="292">
        <v>5.154</v>
      </c>
      <c r="G1243" s="292"/>
      <c r="H1243" s="292"/>
      <c r="I1243" s="292">
        <f t="shared" si="200"/>
        <v>5.154</v>
      </c>
      <c r="J1243" s="177"/>
      <c r="K1243" s="811">
        <f t="shared" si="195"/>
        <v>5.154</v>
      </c>
      <c r="L1243" s="442">
        <v>139.3</v>
      </c>
      <c r="M1243" s="150">
        <f t="shared" si="196"/>
        <v>0.036999282124910264</v>
      </c>
      <c r="N1243" s="151">
        <v>341.6</v>
      </c>
      <c r="O1243" s="152">
        <f t="shared" si="197"/>
        <v>12.638954773869347</v>
      </c>
      <c r="P1243" s="551">
        <f t="shared" si="198"/>
        <v>2219.956927494616</v>
      </c>
      <c r="Q1243" s="153">
        <f t="shared" si="199"/>
        <v>758.3372864321609</v>
      </c>
    </row>
    <row r="1244" spans="1:17" ht="11.25">
      <c r="A1244" s="930"/>
      <c r="B1244" s="40">
        <v>9</v>
      </c>
      <c r="C1244" s="154" t="s">
        <v>949</v>
      </c>
      <c r="D1244" s="142">
        <v>16</v>
      </c>
      <c r="E1244" s="142" t="s">
        <v>113</v>
      </c>
      <c r="F1244" s="292">
        <v>21.963</v>
      </c>
      <c r="G1244" s="292">
        <f>25.7*0.051</f>
        <v>1.3107</v>
      </c>
      <c r="H1244" s="292">
        <f>16*0.01</f>
        <v>0.16</v>
      </c>
      <c r="I1244" s="292">
        <f t="shared" si="200"/>
        <v>20.4923</v>
      </c>
      <c r="J1244" s="177"/>
      <c r="K1244" s="811">
        <f t="shared" si="195"/>
        <v>20.4923</v>
      </c>
      <c r="L1244" s="442">
        <v>507.62</v>
      </c>
      <c r="M1244" s="150">
        <f t="shared" si="196"/>
        <v>0.040369370789173006</v>
      </c>
      <c r="N1244" s="151">
        <f>+N1243</f>
        <v>341.6</v>
      </c>
      <c r="O1244" s="152">
        <f t="shared" si="197"/>
        <v>13.7901770615815</v>
      </c>
      <c r="P1244" s="551">
        <f t="shared" si="198"/>
        <v>2422.1622473503803</v>
      </c>
      <c r="Q1244" s="153">
        <f t="shared" si="199"/>
        <v>827.41062369489</v>
      </c>
    </row>
    <row r="1245" spans="1:17" ht="12" thickBot="1">
      <c r="A1245" s="931"/>
      <c r="B1245" s="42">
        <v>10</v>
      </c>
      <c r="C1245" s="227" t="s">
        <v>950</v>
      </c>
      <c r="D1245" s="228">
        <v>4</v>
      </c>
      <c r="E1245" s="228" t="s">
        <v>113</v>
      </c>
      <c r="F1245" s="477">
        <v>7.034</v>
      </c>
      <c r="G1245" s="477">
        <f>3*0.051</f>
        <v>0.153</v>
      </c>
      <c r="H1245" s="477">
        <v>0.32</v>
      </c>
      <c r="I1245" s="477">
        <f t="shared" si="200"/>
        <v>6.561</v>
      </c>
      <c r="J1245" s="824"/>
      <c r="K1245" s="821">
        <f t="shared" si="195"/>
        <v>6.561</v>
      </c>
      <c r="L1245" s="484">
        <v>151.85</v>
      </c>
      <c r="M1245" s="468">
        <f t="shared" si="196"/>
        <v>0.0432071122818571</v>
      </c>
      <c r="N1245" s="469">
        <f>+N1241</f>
        <v>341.6</v>
      </c>
      <c r="O1245" s="470">
        <f t="shared" si="197"/>
        <v>14.759549555482385</v>
      </c>
      <c r="P1245" s="470">
        <f t="shared" si="198"/>
        <v>2592.426736911426</v>
      </c>
      <c r="Q1245" s="471">
        <f t="shared" si="199"/>
        <v>885.5729733289431</v>
      </c>
    </row>
    <row r="1248" spans="1:17" ht="15">
      <c r="A1248" s="907" t="s">
        <v>81</v>
      </c>
      <c r="B1248" s="907"/>
      <c r="C1248" s="907"/>
      <c r="D1248" s="907"/>
      <c r="E1248" s="907"/>
      <c r="F1248" s="907"/>
      <c r="G1248" s="907"/>
      <c r="H1248" s="907"/>
      <c r="I1248" s="907"/>
      <c r="J1248" s="907"/>
      <c r="K1248" s="907"/>
      <c r="L1248" s="907"/>
      <c r="M1248" s="907"/>
      <c r="N1248" s="907"/>
      <c r="O1248" s="907"/>
      <c r="P1248" s="907"/>
      <c r="Q1248" s="907"/>
    </row>
    <row r="1249" spans="1:17" ht="13.5" thickBot="1">
      <c r="A1249" s="934" t="s">
        <v>951</v>
      </c>
      <c r="B1249" s="934"/>
      <c r="C1249" s="934"/>
      <c r="D1249" s="934"/>
      <c r="E1249" s="934"/>
      <c r="F1249" s="934"/>
      <c r="G1249" s="934"/>
      <c r="H1249" s="934"/>
      <c r="I1249" s="934"/>
      <c r="J1249" s="934"/>
      <c r="K1249" s="934"/>
      <c r="L1249" s="934"/>
      <c r="M1249" s="934"/>
      <c r="N1249" s="934"/>
      <c r="O1249" s="934"/>
      <c r="P1249" s="934"/>
      <c r="Q1249" s="934"/>
    </row>
    <row r="1250" spans="1:17" ht="11.25">
      <c r="A1250" s="885" t="s">
        <v>1</v>
      </c>
      <c r="B1250" s="908" t="s">
        <v>0</v>
      </c>
      <c r="C1250" s="880" t="s">
        <v>2</v>
      </c>
      <c r="D1250" s="880" t="s">
        <v>3</v>
      </c>
      <c r="E1250" s="880" t="s">
        <v>13</v>
      </c>
      <c r="F1250" s="911" t="s">
        <v>14</v>
      </c>
      <c r="G1250" s="912"/>
      <c r="H1250" s="912"/>
      <c r="I1250" s="913"/>
      <c r="J1250" s="880" t="s">
        <v>4</v>
      </c>
      <c r="K1250" s="880" t="s">
        <v>15</v>
      </c>
      <c r="L1250" s="880" t="s">
        <v>5</v>
      </c>
      <c r="M1250" s="880" t="s">
        <v>6</v>
      </c>
      <c r="N1250" s="880" t="s">
        <v>16</v>
      </c>
      <c r="O1250" s="880" t="s">
        <v>17</v>
      </c>
      <c r="P1250" s="920" t="s">
        <v>25</v>
      </c>
      <c r="Q1250" s="890" t="s">
        <v>26</v>
      </c>
    </row>
    <row r="1251" spans="1:17" ht="33.75">
      <c r="A1251" s="886"/>
      <c r="B1251" s="909"/>
      <c r="C1251" s="888"/>
      <c r="D1251" s="881"/>
      <c r="E1251" s="881"/>
      <c r="F1251" s="36" t="s">
        <v>18</v>
      </c>
      <c r="G1251" s="36" t="s">
        <v>19</v>
      </c>
      <c r="H1251" s="36" t="s">
        <v>20</v>
      </c>
      <c r="I1251" s="36" t="s">
        <v>21</v>
      </c>
      <c r="J1251" s="881"/>
      <c r="K1251" s="881"/>
      <c r="L1251" s="881"/>
      <c r="M1251" s="881"/>
      <c r="N1251" s="881"/>
      <c r="O1251" s="881"/>
      <c r="P1251" s="921"/>
      <c r="Q1251" s="891"/>
    </row>
    <row r="1252" spans="1:17" ht="12" thickBot="1">
      <c r="A1252" s="886"/>
      <c r="B1252" s="909"/>
      <c r="C1252" s="889"/>
      <c r="D1252" s="52" t="s">
        <v>7</v>
      </c>
      <c r="E1252" s="52" t="s">
        <v>8</v>
      </c>
      <c r="F1252" s="52" t="s">
        <v>9</v>
      </c>
      <c r="G1252" s="52" t="s">
        <v>9</v>
      </c>
      <c r="H1252" s="52" t="s">
        <v>9</v>
      </c>
      <c r="I1252" s="52" t="s">
        <v>9</v>
      </c>
      <c r="J1252" s="52" t="s">
        <v>22</v>
      </c>
      <c r="K1252" s="52" t="s">
        <v>9</v>
      </c>
      <c r="L1252" s="52" t="s">
        <v>22</v>
      </c>
      <c r="M1252" s="52" t="s">
        <v>23</v>
      </c>
      <c r="N1252" s="52" t="s">
        <v>10</v>
      </c>
      <c r="O1252" s="52" t="s">
        <v>24</v>
      </c>
      <c r="P1252" s="59" t="s">
        <v>27</v>
      </c>
      <c r="Q1252" s="54" t="s">
        <v>28</v>
      </c>
    </row>
    <row r="1253" spans="1:17" ht="11.25">
      <c r="A1253" s="917" t="s">
        <v>30</v>
      </c>
      <c r="B1253" s="218">
        <v>1</v>
      </c>
      <c r="C1253" s="254" t="s">
        <v>952</v>
      </c>
      <c r="D1253" s="218">
        <v>45</v>
      </c>
      <c r="E1253" s="218">
        <v>1988</v>
      </c>
      <c r="F1253" s="389">
        <v>56.867</v>
      </c>
      <c r="G1253" s="389">
        <v>4.074</v>
      </c>
      <c r="H1253" s="389">
        <v>6.88</v>
      </c>
      <c r="I1253" s="389">
        <v>45.913</v>
      </c>
      <c r="J1253" s="389">
        <v>2182.7</v>
      </c>
      <c r="K1253" s="409">
        <v>45.518</v>
      </c>
      <c r="L1253" s="709">
        <v>2065.32</v>
      </c>
      <c r="M1253" s="268">
        <v>0.02203919973660256</v>
      </c>
      <c r="N1253" s="325">
        <v>288.741</v>
      </c>
      <c r="O1253" s="267">
        <v>6.36362057114636</v>
      </c>
      <c r="P1253" s="267">
        <v>1322.3519841961536</v>
      </c>
      <c r="Q1253" s="269">
        <v>381.81723426878153</v>
      </c>
    </row>
    <row r="1254" spans="1:17" ht="11.25">
      <c r="A1254" s="918"/>
      <c r="B1254" s="219">
        <v>2</v>
      </c>
      <c r="C1254" s="256" t="s">
        <v>953</v>
      </c>
      <c r="D1254" s="219">
        <v>40</v>
      </c>
      <c r="E1254" s="219">
        <v>1981</v>
      </c>
      <c r="F1254" s="270">
        <v>53.989</v>
      </c>
      <c r="G1254" s="270">
        <v>5.933</v>
      </c>
      <c r="H1254" s="270">
        <v>1.6</v>
      </c>
      <c r="I1254" s="270">
        <v>46.456</v>
      </c>
      <c r="J1254" s="270">
        <v>2053.42</v>
      </c>
      <c r="K1254" s="272">
        <v>38.883</v>
      </c>
      <c r="L1254" s="261">
        <v>1743.8</v>
      </c>
      <c r="M1254" s="272">
        <v>0.02229785525863058</v>
      </c>
      <c r="N1254" s="270">
        <v>288.741</v>
      </c>
      <c r="O1254" s="271">
        <v>6.4383050252322525</v>
      </c>
      <c r="P1254" s="267">
        <v>1337.8713155178348</v>
      </c>
      <c r="Q1254" s="273">
        <v>386.2983015139351</v>
      </c>
    </row>
    <row r="1255" spans="1:17" ht="11.25">
      <c r="A1255" s="918"/>
      <c r="B1255" s="219">
        <v>3</v>
      </c>
      <c r="C1255" s="256" t="s">
        <v>954</v>
      </c>
      <c r="D1255" s="219">
        <v>20</v>
      </c>
      <c r="E1255" s="219">
        <v>1974</v>
      </c>
      <c r="F1255" s="270">
        <v>36.683</v>
      </c>
      <c r="G1255" s="270">
        <v>2.011</v>
      </c>
      <c r="H1255" s="270">
        <v>3.2</v>
      </c>
      <c r="I1255" s="270">
        <v>31.472</v>
      </c>
      <c r="J1255" s="270">
        <v>1409.61</v>
      </c>
      <c r="K1255" s="272">
        <v>31.472</v>
      </c>
      <c r="L1255" s="261">
        <v>1409.61</v>
      </c>
      <c r="M1255" s="272">
        <v>0.02232674285795362</v>
      </c>
      <c r="N1255" s="270">
        <v>288.741</v>
      </c>
      <c r="O1255" s="271">
        <v>6.446646059548386</v>
      </c>
      <c r="P1255" s="267">
        <v>1339.6045714772174</v>
      </c>
      <c r="Q1255" s="273">
        <v>386.7987635729032</v>
      </c>
    </row>
    <row r="1256" spans="1:17" ht="11.25">
      <c r="A1256" s="918"/>
      <c r="B1256" s="219">
        <v>4</v>
      </c>
      <c r="C1256" s="256" t="s">
        <v>955</v>
      </c>
      <c r="D1256" s="219">
        <v>40</v>
      </c>
      <c r="E1256" s="219">
        <v>1991</v>
      </c>
      <c r="F1256" s="270">
        <v>61.257</v>
      </c>
      <c r="G1256" s="270">
        <v>3.269</v>
      </c>
      <c r="H1256" s="270">
        <v>6.4</v>
      </c>
      <c r="I1256" s="270">
        <v>51.588</v>
      </c>
      <c r="J1256" s="270">
        <v>2268.53</v>
      </c>
      <c r="K1256" s="272">
        <v>51.588</v>
      </c>
      <c r="L1256" s="261">
        <v>2268.53</v>
      </c>
      <c r="M1256" s="272">
        <v>0.022740717557184608</v>
      </c>
      <c r="N1256" s="270">
        <v>288.741</v>
      </c>
      <c r="O1256" s="271">
        <v>6.566177528179041</v>
      </c>
      <c r="P1256" s="267">
        <v>1364.4430534310766</v>
      </c>
      <c r="Q1256" s="273">
        <v>393.97065169074244</v>
      </c>
    </row>
    <row r="1257" spans="1:17" ht="11.25">
      <c r="A1257" s="918"/>
      <c r="B1257" s="219">
        <v>5</v>
      </c>
      <c r="C1257" s="256" t="s">
        <v>956</v>
      </c>
      <c r="D1257" s="219">
        <v>45</v>
      </c>
      <c r="E1257" s="219">
        <v>1976</v>
      </c>
      <c r="F1257" s="270">
        <v>66.161</v>
      </c>
      <c r="G1257" s="270">
        <v>5.127</v>
      </c>
      <c r="H1257" s="270">
        <v>7.2</v>
      </c>
      <c r="I1257" s="270">
        <v>53.834</v>
      </c>
      <c r="J1257" s="270">
        <v>2321.8</v>
      </c>
      <c r="K1257" s="272">
        <v>53.834</v>
      </c>
      <c r="L1257" s="261">
        <v>2321.8</v>
      </c>
      <c r="M1257" s="272">
        <v>0.02318632095787751</v>
      </c>
      <c r="N1257" s="270">
        <v>288.741</v>
      </c>
      <c r="O1257" s="271">
        <v>6.6948414996985095</v>
      </c>
      <c r="P1257" s="267">
        <v>1391.1792574726505</v>
      </c>
      <c r="Q1257" s="273">
        <v>401.69048998191056</v>
      </c>
    </row>
    <row r="1258" spans="1:17" ht="11.25">
      <c r="A1258" s="918"/>
      <c r="B1258" s="219">
        <v>6</v>
      </c>
      <c r="C1258" s="256" t="s">
        <v>957</v>
      </c>
      <c r="D1258" s="219">
        <v>28</v>
      </c>
      <c r="E1258" s="219">
        <v>1977</v>
      </c>
      <c r="F1258" s="270">
        <v>40.544</v>
      </c>
      <c r="G1258" s="270">
        <v>2.543</v>
      </c>
      <c r="H1258" s="270">
        <v>4.48</v>
      </c>
      <c r="I1258" s="270">
        <v>33.521</v>
      </c>
      <c r="J1258" s="270">
        <v>1436.93</v>
      </c>
      <c r="K1258" s="272">
        <v>33.521</v>
      </c>
      <c r="L1258" s="261">
        <v>1436.93</v>
      </c>
      <c r="M1258" s="272">
        <v>0.023328206662815865</v>
      </c>
      <c r="N1258" s="270">
        <v>288.741</v>
      </c>
      <c r="O1258" s="271">
        <v>6.735809720028115</v>
      </c>
      <c r="P1258" s="267">
        <v>1399.6923997689519</v>
      </c>
      <c r="Q1258" s="273">
        <v>404.1485832016869</v>
      </c>
    </row>
    <row r="1259" spans="1:17" ht="11.25">
      <c r="A1259" s="918"/>
      <c r="B1259" s="219">
        <v>7</v>
      </c>
      <c r="C1259" s="256" t="s">
        <v>958</v>
      </c>
      <c r="D1259" s="219">
        <v>32</v>
      </c>
      <c r="E1259" s="219">
        <v>1986</v>
      </c>
      <c r="F1259" s="270">
        <v>51.483</v>
      </c>
      <c r="G1259" s="270">
        <v>4.51</v>
      </c>
      <c r="H1259" s="270">
        <v>4.8</v>
      </c>
      <c r="I1259" s="270">
        <v>42.173</v>
      </c>
      <c r="J1259" s="270">
        <v>1810.7</v>
      </c>
      <c r="K1259" s="272">
        <v>39.097</v>
      </c>
      <c r="L1259" s="261">
        <v>1666.74</v>
      </c>
      <c r="M1259" s="272">
        <v>0.023457167884613078</v>
      </c>
      <c r="N1259" s="270">
        <v>288.741</v>
      </c>
      <c r="O1259" s="271">
        <v>6.773046112171064</v>
      </c>
      <c r="P1259" s="267">
        <v>1407.4300730767848</v>
      </c>
      <c r="Q1259" s="273">
        <v>406.3827667302639</v>
      </c>
    </row>
    <row r="1260" spans="1:17" ht="11.25">
      <c r="A1260" s="918"/>
      <c r="B1260" s="219">
        <v>8</v>
      </c>
      <c r="C1260" s="256" t="s">
        <v>959</v>
      </c>
      <c r="D1260" s="219">
        <v>40</v>
      </c>
      <c r="E1260" s="219">
        <v>1989</v>
      </c>
      <c r="F1260" s="270">
        <v>64.124</v>
      </c>
      <c r="G1260" s="270">
        <v>4.143</v>
      </c>
      <c r="H1260" s="270">
        <v>6.24</v>
      </c>
      <c r="I1260" s="270">
        <v>53.741</v>
      </c>
      <c r="J1260" s="270">
        <v>2277.2</v>
      </c>
      <c r="K1260" s="272">
        <v>51.855</v>
      </c>
      <c r="L1260" s="261">
        <v>2199.36</v>
      </c>
      <c r="M1260" s="272">
        <v>0.023577313400261892</v>
      </c>
      <c r="N1260" s="270">
        <v>288.741</v>
      </c>
      <c r="O1260" s="271">
        <v>6.807737048505019</v>
      </c>
      <c r="P1260" s="267">
        <v>1414.6388040157137</v>
      </c>
      <c r="Q1260" s="273">
        <v>408.4642229103012</v>
      </c>
    </row>
    <row r="1261" spans="1:17" ht="11.25">
      <c r="A1261" s="935"/>
      <c r="B1261" s="231">
        <v>9</v>
      </c>
      <c r="C1261" s="256" t="s">
        <v>960</v>
      </c>
      <c r="D1261" s="219">
        <v>20</v>
      </c>
      <c r="E1261" s="219">
        <v>1979</v>
      </c>
      <c r="F1261" s="270">
        <v>28.122</v>
      </c>
      <c r="G1261" s="270">
        <v>1.846</v>
      </c>
      <c r="H1261" s="270">
        <v>3.168</v>
      </c>
      <c r="I1261" s="270">
        <v>23.108</v>
      </c>
      <c r="J1261" s="270">
        <v>964.06</v>
      </c>
      <c r="K1261" s="272">
        <v>23.108</v>
      </c>
      <c r="L1261" s="261">
        <v>964.06</v>
      </c>
      <c r="M1261" s="272">
        <v>0.023969462481588284</v>
      </c>
      <c r="N1261" s="270">
        <v>288.741</v>
      </c>
      <c r="O1261" s="271">
        <v>6.920966566396282</v>
      </c>
      <c r="P1261" s="271">
        <v>1438.167748895297</v>
      </c>
      <c r="Q1261" s="273">
        <v>415.25799398377694</v>
      </c>
    </row>
    <row r="1262" spans="1:17" ht="12" thickBot="1">
      <c r="A1262" s="919"/>
      <c r="B1262" s="232">
        <v>10</v>
      </c>
      <c r="C1262" s="258"/>
      <c r="D1262" s="232"/>
      <c r="E1262" s="232"/>
      <c r="F1262" s="232"/>
      <c r="G1262" s="232"/>
      <c r="H1262" s="232"/>
      <c r="I1262" s="232"/>
      <c r="J1262" s="232"/>
      <c r="K1262" s="276"/>
      <c r="L1262" s="263"/>
      <c r="M1262" s="232"/>
      <c r="N1262" s="232"/>
      <c r="O1262" s="232"/>
      <c r="P1262" s="232"/>
      <c r="Q1262" s="365"/>
    </row>
    <row r="1263" spans="1:17" ht="11.25">
      <c r="A1263" s="928" t="s">
        <v>12</v>
      </c>
      <c r="B1263" s="38">
        <v>1</v>
      </c>
      <c r="C1263" s="181" t="s">
        <v>961</v>
      </c>
      <c r="D1263" s="73">
        <v>18</v>
      </c>
      <c r="E1263" s="73">
        <v>1967</v>
      </c>
      <c r="F1263" s="204">
        <v>21.846</v>
      </c>
      <c r="G1263" s="204">
        <v>1.151</v>
      </c>
      <c r="H1263" s="204">
        <v>0.288</v>
      </c>
      <c r="I1263" s="204">
        <v>20.407</v>
      </c>
      <c r="J1263" s="204">
        <v>658.26</v>
      </c>
      <c r="K1263" s="213">
        <v>16.848</v>
      </c>
      <c r="L1263" s="332">
        <v>490.49</v>
      </c>
      <c r="M1263" s="213">
        <v>0.03434932414524251</v>
      </c>
      <c r="N1263" s="204">
        <v>288.741</v>
      </c>
      <c r="O1263" s="164">
        <v>9.918058203021468</v>
      </c>
      <c r="P1263" s="164">
        <v>2060.959448714551</v>
      </c>
      <c r="Q1263" s="285">
        <v>595.0834921812881</v>
      </c>
    </row>
    <row r="1264" spans="1:17" ht="11.25">
      <c r="A1264" s="929"/>
      <c r="B1264" s="73">
        <v>2</v>
      </c>
      <c r="C1264" s="45" t="s">
        <v>962</v>
      </c>
      <c r="D1264" s="40">
        <v>45</v>
      </c>
      <c r="E1264" s="40">
        <v>1977</v>
      </c>
      <c r="F1264" s="172">
        <v>84.135</v>
      </c>
      <c r="G1264" s="172">
        <v>3.796</v>
      </c>
      <c r="H1264" s="172">
        <v>7.2</v>
      </c>
      <c r="I1264" s="172">
        <v>73.139</v>
      </c>
      <c r="J1264" s="172">
        <v>2035.18</v>
      </c>
      <c r="K1264" s="214">
        <v>73.139</v>
      </c>
      <c r="L1264" s="297">
        <v>2035.18</v>
      </c>
      <c r="M1264" s="214">
        <v>0.03593736180583535</v>
      </c>
      <c r="N1264" s="172">
        <v>288.741</v>
      </c>
      <c r="O1264" s="290">
        <v>10.376589785178705</v>
      </c>
      <c r="P1264" s="164">
        <v>2156.241708350121</v>
      </c>
      <c r="Q1264" s="291">
        <v>622.5953871107223</v>
      </c>
    </row>
    <row r="1265" spans="1:17" ht="11.25">
      <c r="A1265" s="929"/>
      <c r="B1265" s="73">
        <v>3</v>
      </c>
      <c r="C1265" s="45" t="s">
        <v>963</v>
      </c>
      <c r="D1265" s="40">
        <v>5</v>
      </c>
      <c r="E1265" s="40">
        <v>1984</v>
      </c>
      <c r="F1265" s="172">
        <v>6.842</v>
      </c>
      <c r="G1265" s="172">
        <v>0.169</v>
      </c>
      <c r="H1265" s="172">
        <v>0.08</v>
      </c>
      <c r="I1265" s="172">
        <v>6.593</v>
      </c>
      <c r="J1265" s="172">
        <v>180.46</v>
      </c>
      <c r="K1265" s="214">
        <v>6.593</v>
      </c>
      <c r="L1265" s="297">
        <v>180.46</v>
      </c>
      <c r="M1265" s="214">
        <v>0.03653441205807381</v>
      </c>
      <c r="N1265" s="172">
        <v>288.741</v>
      </c>
      <c r="O1265" s="290">
        <v>10.54898267206029</v>
      </c>
      <c r="P1265" s="164">
        <v>2192.0647234844287</v>
      </c>
      <c r="Q1265" s="291">
        <v>632.9389603236175</v>
      </c>
    </row>
    <row r="1266" spans="1:17" ht="11.25">
      <c r="A1266" s="930"/>
      <c r="B1266" s="40">
        <v>4</v>
      </c>
      <c r="C1266" s="45" t="s">
        <v>964</v>
      </c>
      <c r="D1266" s="40">
        <v>6</v>
      </c>
      <c r="E1266" s="40">
        <v>1929</v>
      </c>
      <c r="F1266" s="172">
        <v>8.7</v>
      </c>
      <c r="G1266" s="172">
        <v>0.051</v>
      </c>
      <c r="H1266" s="172">
        <v>0.064</v>
      </c>
      <c r="I1266" s="172">
        <v>8.585</v>
      </c>
      <c r="J1266" s="172">
        <v>233.78</v>
      </c>
      <c r="K1266" s="214">
        <v>3.162</v>
      </c>
      <c r="L1266" s="297">
        <v>86.11</v>
      </c>
      <c r="M1266" s="214">
        <v>0.036720473812565324</v>
      </c>
      <c r="N1266" s="172">
        <v>288.741</v>
      </c>
      <c r="O1266" s="290">
        <v>10.602706329113923</v>
      </c>
      <c r="P1266" s="164">
        <v>2203.2284287539196</v>
      </c>
      <c r="Q1266" s="291">
        <v>636.1623797468354</v>
      </c>
    </row>
    <row r="1267" spans="1:17" ht="11.25">
      <c r="A1267" s="930"/>
      <c r="B1267" s="40">
        <v>5</v>
      </c>
      <c r="C1267" s="45" t="s">
        <v>965</v>
      </c>
      <c r="D1267" s="40">
        <v>8</v>
      </c>
      <c r="E1267" s="40">
        <v>1936</v>
      </c>
      <c r="F1267" s="172">
        <v>7.765</v>
      </c>
      <c r="G1267" s="172">
        <v>0.244</v>
      </c>
      <c r="H1267" s="172">
        <v>0.272</v>
      </c>
      <c r="I1267" s="172">
        <v>7.249</v>
      </c>
      <c r="J1267" s="172">
        <v>192.55</v>
      </c>
      <c r="K1267" s="214">
        <v>7.249</v>
      </c>
      <c r="L1267" s="297">
        <v>192.55</v>
      </c>
      <c r="M1267" s="214">
        <v>0.03764736432095559</v>
      </c>
      <c r="N1267" s="172">
        <v>288.741</v>
      </c>
      <c r="O1267" s="290">
        <v>10.870337621397038</v>
      </c>
      <c r="P1267" s="164">
        <v>2258.8418592573353</v>
      </c>
      <c r="Q1267" s="291">
        <v>652.2202572838222</v>
      </c>
    </row>
    <row r="1268" spans="1:17" ht="11.25">
      <c r="A1268" s="930"/>
      <c r="B1268" s="40">
        <v>6</v>
      </c>
      <c r="C1268" s="45" t="s">
        <v>966</v>
      </c>
      <c r="D1268" s="40">
        <v>6</v>
      </c>
      <c r="E1268" s="40">
        <v>1934</v>
      </c>
      <c r="F1268" s="172">
        <v>9.452</v>
      </c>
      <c r="G1268" s="172">
        <v>0.507</v>
      </c>
      <c r="H1268" s="172">
        <v>0.096</v>
      </c>
      <c r="I1268" s="172">
        <v>8.849</v>
      </c>
      <c r="J1268" s="172">
        <v>229.18</v>
      </c>
      <c r="K1268" s="214">
        <v>8.849</v>
      </c>
      <c r="L1268" s="297">
        <v>229.18</v>
      </c>
      <c r="M1268" s="214">
        <v>0.03861157169037438</v>
      </c>
      <c r="N1268" s="172">
        <v>288.741</v>
      </c>
      <c r="O1268" s="290">
        <v>11.148743821450388</v>
      </c>
      <c r="P1268" s="164">
        <v>2316.694301422463</v>
      </c>
      <c r="Q1268" s="291">
        <v>668.9246292870233</v>
      </c>
    </row>
    <row r="1269" spans="1:17" ht="11.25">
      <c r="A1269" s="930"/>
      <c r="B1269" s="40">
        <v>7</v>
      </c>
      <c r="C1269" s="45" t="s">
        <v>967</v>
      </c>
      <c r="D1269" s="40">
        <v>6</v>
      </c>
      <c r="E1269" s="40">
        <v>1985</v>
      </c>
      <c r="F1269" s="172">
        <v>10.702</v>
      </c>
      <c r="G1269" s="172">
        <v>0.282</v>
      </c>
      <c r="H1269" s="172">
        <v>0.96</v>
      </c>
      <c r="I1269" s="172">
        <v>9.46</v>
      </c>
      <c r="J1269" s="172">
        <v>230.55</v>
      </c>
      <c r="K1269" s="214">
        <v>9.46</v>
      </c>
      <c r="L1269" s="297">
        <v>230.55</v>
      </c>
      <c r="M1269" s="214">
        <v>0.041032314031663415</v>
      </c>
      <c r="N1269" s="172">
        <v>288.741</v>
      </c>
      <c r="O1269" s="290">
        <v>11.847711385816526</v>
      </c>
      <c r="P1269" s="164">
        <v>2461.938841899805</v>
      </c>
      <c r="Q1269" s="291">
        <v>710.8626831489916</v>
      </c>
    </row>
    <row r="1270" spans="1:17" ht="11.25">
      <c r="A1270" s="930"/>
      <c r="B1270" s="40">
        <v>8</v>
      </c>
      <c r="C1270" s="45" t="s">
        <v>968</v>
      </c>
      <c r="D1270" s="40">
        <v>6</v>
      </c>
      <c r="E1270" s="40">
        <v>1957</v>
      </c>
      <c r="F1270" s="172">
        <v>15.233</v>
      </c>
      <c r="G1270" s="172">
        <v>0.856</v>
      </c>
      <c r="H1270" s="172">
        <v>0.08</v>
      </c>
      <c r="I1270" s="172">
        <v>14.297</v>
      </c>
      <c r="J1270" s="172">
        <v>319.78</v>
      </c>
      <c r="K1270" s="214">
        <v>14.297</v>
      </c>
      <c r="L1270" s="297">
        <v>319.78</v>
      </c>
      <c r="M1270" s="214">
        <v>0.04470886234286072</v>
      </c>
      <c r="N1270" s="172">
        <v>288.741</v>
      </c>
      <c r="O1270" s="290">
        <v>12.909281621739947</v>
      </c>
      <c r="P1270" s="164">
        <v>2682.5317405716432</v>
      </c>
      <c r="Q1270" s="291">
        <v>774.5568973043969</v>
      </c>
    </row>
    <row r="1271" spans="1:17" ht="11.25">
      <c r="A1271" s="930"/>
      <c r="B1271" s="40">
        <v>9</v>
      </c>
      <c r="C1271" s="45" t="s">
        <v>969</v>
      </c>
      <c r="D1271" s="40">
        <v>6</v>
      </c>
      <c r="E1271" s="40">
        <v>1958</v>
      </c>
      <c r="F1271" s="172">
        <v>7.388</v>
      </c>
      <c r="G1271" s="172">
        <v>0.329</v>
      </c>
      <c r="H1271" s="172">
        <v>0.32</v>
      </c>
      <c r="I1271" s="172">
        <v>6.739</v>
      </c>
      <c r="J1271" s="172">
        <v>318.54</v>
      </c>
      <c r="K1271" s="214">
        <v>4.323</v>
      </c>
      <c r="L1271" s="297">
        <v>92.5</v>
      </c>
      <c r="M1271" s="214">
        <v>0.046735135135135136</v>
      </c>
      <c r="N1271" s="172">
        <v>288.741</v>
      </c>
      <c r="O1271" s="290">
        <v>13.494349654054053</v>
      </c>
      <c r="P1271" s="164">
        <v>2804.108108108108</v>
      </c>
      <c r="Q1271" s="291">
        <v>809.6609792432431</v>
      </c>
    </row>
    <row r="1272" spans="1:17" ht="12" thickBot="1">
      <c r="A1272" s="931"/>
      <c r="B1272" s="42">
        <v>10</v>
      </c>
      <c r="C1272" s="46"/>
      <c r="D1272" s="42"/>
      <c r="E1272" s="42"/>
      <c r="F1272" s="215"/>
      <c r="G1272" s="215"/>
      <c r="H1272" s="215"/>
      <c r="I1272" s="215"/>
      <c r="J1272" s="215"/>
      <c r="K1272" s="217"/>
      <c r="L1272" s="333"/>
      <c r="M1272" s="217"/>
      <c r="N1272" s="215"/>
      <c r="O1272" s="216"/>
      <c r="P1272" s="216"/>
      <c r="Q1272" s="288"/>
    </row>
    <row r="1277" ht="12" thickBot="1"/>
    <row r="1278" ht="12" thickBot="1">
      <c r="H1278" s="848"/>
    </row>
  </sheetData>
  <sheetProtection/>
  <mergeCells count="572">
    <mergeCell ref="P1250:P1251"/>
    <mergeCell ref="Q1250:Q1251"/>
    <mergeCell ref="A1253:A1262"/>
    <mergeCell ref="A1263:A1272"/>
    <mergeCell ref="J1250:J1251"/>
    <mergeCell ref="K1250:K1251"/>
    <mergeCell ref="L1250:L1251"/>
    <mergeCell ref="M1250:M1251"/>
    <mergeCell ref="N1250:N1251"/>
    <mergeCell ref="O1250:O1251"/>
    <mergeCell ref="A1250:A1252"/>
    <mergeCell ref="B1250:B1252"/>
    <mergeCell ref="C1250:C1252"/>
    <mergeCell ref="D1250:D1251"/>
    <mergeCell ref="E1250:E1251"/>
    <mergeCell ref="F1250:I1250"/>
    <mergeCell ref="A1208:A1215"/>
    <mergeCell ref="A1216:A1225"/>
    <mergeCell ref="A1226:A1235"/>
    <mergeCell ref="A1236:A1245"/>
    <mergeCell ref="A1248:Q1248"/>
    <mergeCell ref="A1249:Q1249"/>
    <mergeCell ref="L1205:L1206"/>
    <mergeCell ref="M1205:M1206"/>
    <mergeCell ref="N1205:N1206"/>
    <mergeCell ref="O1205:O1206"/>
    <mergeCell ref="P1205:P1206"/>
    <mergeCell ref="Q1205:Q1206"/>
    <mergeCell ref="A1203:Q1203"/>
    <mergeCell ref="A1204:Q1204"/>
    <mergeCell ref="A1205:A1207"/>
    <mergeCell ref="B1205:B1207"/>
    <mergeCell ref="C1205:C1207"/>
    <mergeCell ref="D1205:D1206"/>
    <mergeCell ref="E1205:E1206"/>
    <mergeCell ref="F1205:I1205"/>
    <mergeCell ref="J1205:J1206"/>
    <mergeCell ref="K1205:K1206"/>
    <mergeCell ref="Q1158:Q1159"/>
    <mergeCell ref="A1161:A1170"/>
    <mergeCell ref="A1171:A1180"/>
    <mergeCell ref="A1181:A1190"/>
    <mergeCell ref="A1191:A1200"/>
    <mergeCell ref="J1158:J1159"/>
    <mergeCell ref="K1158:K1159"/>
    <mergeCell ref="L1158:L1159"/>
    <mergeCell ref="M1158:M1159"/>
    <mergeCell ref="O1158:O1159"/>
    <mergeCell ref="A926:A935"/>
    <mergeCell ref="A1120:A1126"/>
    <mergeCell ref="A1156:Q1156"/>
    <mergeCell ref="A1157:Q1157"/>
    <mergeCell ref="A1158:A1160"/>
    <mergeCell ref="B1158:B1160"/>
    <mergeCell ref="C1158:C1160"/>
    <mergeCell ref="D1158:D1159"/>
    <mergeCell ref="P1158:P1159"/>
    <mergeCell ref="E1158:E1159"/>
    <mergeCell ref="F1158:I1158"/>
    <mergeCell ref="A1137:A1142"/>
    <mergeCell ref="L143:L144"/>
    <mergeCell ref="A270:A279"/>
    <mergeCell ref="A188:Q188"/>
    <mergeCell ref="A223:A232"/>
    <mergeCell ref="K190:K191"/>
    <mergeCell ref="A916:A925"/>
    <mergeCell ref="N1158:N1159"/>
    <mergeCell ref="A289:A296"/>
    <mergeCell ref="A146:A155"/>
    <mergeCell ref="A156:A165"/>
    <mergeCell ref="A166:A175"/>
    <mergeCell ref="A176:A185"/>
    <mergeCell ref="A236:Q236"/>
    <mergeCell ref="A189:Q189"/>
    <mergeCell ref="A142:Q142"/>
    <mergeCell ref="A143:A145"/>
    <mergeCell ref="B143:B145"/>
    <mergeCell ref="C143:C145"/>
    <mergeCell ref="D143:D144"/>
    <mergeCell ref="M143:M144"/>
    <mergeCell ref="J143:J144"/>
    <mergeCell ref="E143:E144"/>
    <mergeCell ref="F143:I143"/>
    <mergeCell ref="N143:N144"/>
    <mergeCell ref="Q560:Q561"/>
    <mergeCell ref="A563:A572"/>
    <mergeCell ref="A573:A582"/>
    <mergeCell ref="A583:A592"/>
    <mergeCell ref="A593:A602"/>
    <mergeCell ref="J560:J561"/>
    <mergeCell ref="K560:K561"/>
    <mergeCell ref="L560:L561"/>
    <mergeCell ref="M560:M561"/>
    <mergeCell ref="N560:N561"/>
    <mergeCell ref="A297:A306"/>
    <mergeCell ref="P560:P561"/>
    <mergeCell ref="A560:A562"/>
    <mergeCell ref="B560:B562"/>
    <mergeCell ref="C560:C562"/>
    <mergeCell ref="D560:D561"/>
    <mergeCell ref="E560:E561"/>
    <mergeCell ref="F560:I560"/>
    <mergeCell ref="A515:A524"/>
    <mergeCell ref="A525:A534"/>
    <mergeCell ref="A535:A544"/>
    <mergeCell ref="A545:A554"/>
    <mergeCell ref="A558:Q558"/>
    <mergeCell ref="A559:Q559"/>
    <mergeCell ref="L512:L513"/>
    <mergeCell ref="M512:M513"/>
    <mergeCell ref="N512:N513"/>
    <mergeCell ref="O512:O513"/>
    <mergeCell ref="P512:P513"/>
    <mergeCell ref="J512:J513"/>
    <mergeCell ref="O560:O561"/>
    <mergeCell ref="Q512:Q513"/>
    <mergeCell ref="A510:Q510"/>
    <mergeCell ref="A511:Q511"/>
    <mergeCell ref="A512:A514"/>
    <mergeCell ref="B512:B514"/>
    <mergeCell ref="C512:C514"/>
    <mergeCell ref="D512:D513"/>
    <mergeCell ref="E512:E513"/>
    <mergeCell ref="F512:I512"/>
    <mergeCell ref="K512:K513"/>
    <mergeCell ref="P465:P466"/>
    <mergeCell ref="Q465:Q466"/>
    <mergeCell ref="A468:A477"/>
    <mergeCell ref="A478:A487"/>
    <mergeCell ref="A488:A497"/>
    <mergeCell ref="A498:A507"/>
    <mergeCell ref="J465:J466"/>
    <mergeCell ref="K465:K466"/>
    <mergeCell ref="L465:L466"/>
    <mergeCell ref="M465:M466"/>
    <mergeCell ref="N465:N466"/>
    <mergeCell ref="O465:O466"/>
    <mergeCell ref="A465:A467"/>
    <mergeCell ref="B465:B467"/>
    <mergeCell ref="C465:C467"/>
    <mergeCell ref="D465:D466"/>
    <mergeCell ref="E465:E466"/>
    <mergeCell ref="F465:I465"/>
    <mergeCell ref="A422:A431"/>
    <mergeCell ref="A432:A441"/>
    <mergeCell ref="A442:A451"/>
    <mergeCell ref="A452:A461"/>
    <mergeCell ref="A463:Q463"/>
    <mergeCell ref="A464:Q464"/>
    <mergeCell ref="L419:L420"/>
    <mergeCell ref="M419:M420"/>
    <mergeCell ref="N419:N420"/>
    <mergeCell ref="O419:O420"/>
    <mergeCell ref="P419:P420"/>
    <mergeCell ref="Q419:Q420"/>
    <mergeCell ref="A417:Q417"/>
    <mergeCell ref="A418:Q418"/>
    <mergeCell ref="A419:A421"/>
    <mergeCell ref="B419:B421"/>
    <mergeCell ref="C419:C421"/>
    <mergeCell ref="D419:D420"/>
    <mergeCell ref="E419:E420"/>
    <mergeCell ref="F419:I419"/>
    <mergeCell ref="J419:J420"/>
    <mergeCell ref="K419:K420"/>
    <mergeCell ref="P384:P385"/>
    <mergeCell ref="Q384:Q385"/>
    <mergeCell ref="A387:A394"/>
    <mergeCell ref="A395:A402"/>
    <mergeCell ref="A403:A410"/>
    <mergeCell ref="J384:J385"/>
    <mergeCell ref="K384:K385"/>
    <mergeCell ref="L384:L385"/>
    <mergeCell ref="M384:M385"/>
    <mergeCell ref="A382:Q382"/>
    <mergeCell ref="A383:Q383"/>
    <mergeCell ref="N384:N385"/>
    <mergeCell ref="O384:O385"/>
    <mergeCell ref="A384:A386"/>
    <mergeCell ref="B384:B386"/>
    <mergeCell ref="C384:C386"/>
    <mergeCell ref="D384:D385"/>
    <mergeCell ref="E384:E385"/>
    <mergeCell ref="F384:I384"/>
    <mergeCell ref="P335:P336"/>
    <mergeCell ref="Q335:Q336"/>
    <mergeCell ref="A338:A347"/>
    <mergeCell ref="A348:A357"/>
    <mergeCell ref="A358:A367"/>
    <mergeCell ref="A368:A377"/>
    <mergeCell ref="J335:J336"/>
    <mergeCell ref="K335:K336"/>
    <mergeCell ref="L335:L336"/>
    <mergeCell ref="M335:M336"/>
    <mergeCell ref="N335:N336"/>
    <mergeCell ref="O335:O336"/>
    <mergeCell ref="E286:E287"/>
    <mergeCell ref="F286:I286"/>
    <mergeCell ref="A333:Q333"/>
    <mergeCell ref="A334:Q334"/>
    <mergeCell ref="A335:A337"/>
    <mergeCell ref="B335:B337"/>
    <mergeCell ref="C335:C337"/>
    <mergeCell ref="D335:D336"/>
    <mergeCell ref="E335:E336"/>
    <mergeCell ref="F335:I335"/>
    <mergeCell ref="O286:O287"/>
    <mergeCell ref="A286:A288"/>
    <mergeCell ref="B286:B288"/>
    <mergeCell ref="C286:C288"/>
    <mergeCell ref="A307:A316"/>
    <mergeCell ref="A317:A326"/>
    <mergeCell ref="J286:J287"/>
    <mergeCell ref="K286:K287"/>
    <mergeCell ref="O237:O238"/>
    <mergeCell ref="A240:A249"/>
    <mergeCell ref="A250:A259"/>
    <mergeCell ref="A260:A269"/>
    <mergeCell ref="A237:A239"/>
    <mergeCell ref="B237:B239"/>
    <mergeCell ref="C237:C239"/>
    <mergeCell ref="P286:P287"/>
    <mergeCell ref="Q286:Q287"/>
    <mergeCell ref="M286:M287"/>
    <mergeCell ref="A284:Q284"/>
    <mergeCell ref="A285:Q285"/>
    <mergeCell ref="N286:N287"/>
    <mergeCell ref="L286:L287"/>
    <mergeCell ref="D286:D287"/>
    <mergeCell ref="P237:P238"/>
    <mergeCell ref="Q237:Q238"/>
    <mergeCell ref="D237:D238"/>
    <mergeCell ref="E237:E238"/>
    <mergeCell ref="F237:I237"/>
    <mergeCell ref="J237:J238"/>
    <mergeCell ref="K237:K238"/>
    <mergeCell ref="L237:L238"/>
    <mergeCell ref="M237:M238"/>
    <mergeCell ref="N237:N238"/>
    <mergeCell ref="A235:Q235"/>
    <mergeCell ref="D97:D98"/>
    <mergeCell ref="A100:A109"/>
    <mergeCell ref="A110:A119"/>
    <mergeCell ref="A120:A129"/>
    <mergeCell ref="O143:O144"/>
    <mergeCell ref="K143:K144"/>
    <mergeCell ref="P143:P144"/>
    <mergeCell ref="Q143:Q144"/>
    <mergeCell ref="A141:Q141"/>
    <mergeCell ref="A95:Q95"/>
    <mergeCell ref="A96:Q96"/>
    <mergeCell ref="A97:A98"/>
    <mergeCell ref="B97:B98"/>
    <mergeCell ref="C97:C98"/>
    <mergeCell ref="E97:E98"/>
    <mergeCell ref="F97:I97"/>
    <mergeCell ref="J97:J98"/>
    <mergeCell ref="K97:K98"/>
    <mergeCell ref="O754:O755"/>
    <mergeCell ref="E705:E706"/>
    <mergeCell ref="F705:I705"/>
    <mergeCell ref="C903:C905"/>
    <mergeCell ref="D903:D904"/>
    <mergeCell ref="L754:L755"/>
    <mergeCell ref="C705:C707"/>
    <mergeCell ref="J903:J904"/>
    <mergeCell ref="N903:N904"/>
    <mergeCell ref="A767:A776"/>
    <mergeCell ref="A777:A786"/>
    <mergeCell ref="A787:A796"/>
    <mergeCell ref="K754:K755"/>
    <mergeCell ref="F754:I754"/>
    <mergeCell ref="A704:Q704"/>
    <mergeCell ref="Q754:Q755"/>
    <mergeCell ref="P754:P755"/>
    <mergeCell ref="B658:B660"/>
    <mergeCell ref="C658:C660"/>
    <mergeCell ref="D658:D659"/>
    <mergeCell ref="E658:E659"/>
    <mergeCell ref="A661:A670"/>
    <mergeCell ref="D705:D706"/>
    <mergeCell ref="D1028:D1029"/>
    <mergeCell ref="A621:A630"/>
    <mergeCell ref="A631:A640"/>
    <mergeCell ref="A641:A650"/>
    <mergeCell ref="K608:K609"/>
    <mergeCell ref="P608:P609"/>
    <mergeCell ref="F608:I608"/>
    <mergeCell ref="L608:L609"/>
    <mergeCell ref="M608:M609"/>
    <mergeCell ref="J608:J609"/>
    <mergeCell ref="Q1071:Q1072"/>
    <mergeCell ref="A607:Q607"/>
    <mergeCell ref="A656:Q656"/>
    <mergeCell ref="B1071:B1073"/>
    <mergeCell ref="C1071:C1073"/>
    <mergeCell ref="D1071:D1072"/>
    <mergeCell ref="E1071:E1072"/>
    <mergeCell ref="Q608:Q609"/>
    <mergeCell ref="A611:A620"/>
    <mergeCell ref="K988:K989"/>
    <mergeCell ref="A991:A1000"/>
    <mergeCell ref="A1001:A1010"/>
    <mergeCell ref="L1028:L1029"/>
    <mergeCell ref="A1026:Q1026"/>
    <mergeCell ref="A986:Q986"/>
    <mergeCell ref="A987:Q987"/>
    <mergeCell ref="A988:A990"/>
    <mergeCell ref="N988:N989"/>
    <mergeCell ref="L988:L989"/>
    <mergeCell ref="B988:B990"/>
    <mergeCell ref="F1071:I1071"/>
    <mergeCell ref="J1071:J1072"/>
    <mergeCell ref="K1071:K1072"/>
    <mergeCell ref="A1069:Q1069"/>
    <mergeCell ref="A1070:Q1070"/>
    <mergeCell ref="A1071:A1073"/>
    <mergeCell ref="M1071:M1072"/>
    <mergeCell ref="N1071:N1072"/>
    <mergeCell ref="O1071:O1072"/>
    <mergeCell ref="P1071:P1072"/>
    <mergeCell ref="C988:C990"/>
    <mergeCell ref="Q988:Q989"/>
    <mergeCell ref="E903:E904"/>
    <mergeCell ref="Q903:Q904"/>
    <mergeCell ref="K903:K904"/>
    <mergeCell ref="L903:L904"/>
    <mergeCell ref="M903:M904"/>
    <mergeCell ref="F903:I903"/>
    <mergeCell ref="P903:P904"/>
    <mergeCell ref="O903:O904"/>
    <mergeCell ref="B754:B756"/>
    <mergeCell ref="C754:C756"/>
    <mergeCell ref="D754:D755"/>
    <mergeCell ref="E754:E755"/>
    <mergeCell ref="J754:J755"/>
    <mergeCell ref="C608:C610"/>
    <mergeCell ref="D608:D609"/>
    <mergeCell ref="A703:Q703"/>
    <mergeCell ref="P658:P659"/>
    <mergeCell ref="F658:I658"/>
    <mergeCell ref="J658:J659"/>
    <mergeCell ref="Q658:Q659"/>
    <mergeCell ref="L658:L659"/>
    <mergeCell ref="A691:A700"/>
    <mergeCell ref="K658:K659"/>
    <mergeCell ref="A213:A222"/>
    <mergeCell ref="N608:N609"/>
    <mergeCell ref="M658:M659"/>
    <mergeCell ref="A671:A680"/>
    <mergeCell ref="A681:A690"/>
    <mergeCell ref="F190:I190"/>
    <mergeCell ref="B705:B707"/>
    <mergeCell ref="A657:Q657"/>
    <mergeCell ref="A658:A660"/>
    <mergeCell ref="O658:O659"/>
    <mergeCell ref="O608:O609"/>
    <mergeCell ref="N658:N659"/>
    <mergeCell ref="A608:A610"/>
    <mergeCell ref="B608:B610"/>
    <mergeCell ref="B190:B192"/>
    <mergeCell ref="C190:C192"/>
    <mergeCell ref="D190:D191"/>
    <mergeCell ref="E190:E191"/>
    <mergeCell ref="E608:E609"/>
    <mergeCell ref="A130:A139"/>
    <mergeCell ref="A606:Q606"/>
    <mergeCell ref="Q190:Q191"/>
    <mergeCell ref="A193:A202"/>
    <mergeCell ref="A203:A212"/>
    <mergeCell ref="O190:O191"/>
    <mergeCell ref="M97:M98"/>
    <mergeCell ref="L190:L191"/>
    <mergeCell ref="M190:M191"/>
    <mergeCell ref="N190:N191"/>
    <mergeCell ref="P190:P191"/>
    <mergeCell ref="A54:A63"/>
    <mergeCell ref="A64:A73"/>
    <mergeCell ref="A74:A83"/>
    <mergeCell ref="J190:J191"/>
    <mergeCell ref="A190:A192"/>
    <mergeCell ref="K5:K6"/>
    <mergeCell ref="Q51:Q52"/>
    <mergeCell ref="P51:P52"/>
    <mergeCell ref="E51:E52"/>
    <mergeCell ref="F51:I51"/>
    <mergeCell ref="N97:N98"/>
    <mergeCell ref="O97:O98"/>
    <mergeCell ref="M51:M52"/>
    <mergeCell ref="L51:L52"/>
    <mergeCell ref="L97:L98"/>
    <mergeCell ref="J5:J6"/>
    <mergeCell ref="Q5:Q6"/>
    <mergeCell ref="P97:P98"/>
    <mergeCell ref="Q97:Q98"/>
    <mergeCell ref="O51:O52"/>
    <mergeCell ref="A50:Q50"/>
    <mergeCell ref="A51:A52"/>
    <mergeCell ref="B51:B52"/>
    <mergeCell ref="C51:C52"/>
    <mergeCell ref="N51:N52"/>
    <mergeCell ref="A705:A707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A84:A93"/>
    <mergeCell ref="F5:I5"/>
    <mergeCell ref="E5:E6"/>
    <mergeCell ref="A937:Q937"/>
    <mergeCell ref="J51:J52"/>
    <mergeCell ref="K51:K52"/>
    <mergeCell ref="A49:Q49"/>
    <mergeCell ref="A38:A48"/>
    <mergeCell ref="A753:Q753"/>
    <mergeCell ref="A754:A756"/>
    <mergeCell ref="F1028:I1028"/>
    <mergeCell ref="E988:E989"/>
    <mergeCell ref="F988:I988"/>
    <mergeCell ref="B5:B7"/>
    <mergeCell ref="C5:C7"/>
    <mergeCell ref="A5:A7"/>
    <mergeCell ref="A8:A17"/>
    <mergeCell ref="A18:A27"/>
    <mergeCell ref="A28:A37"/>
    <mergeCell ref="D51:D52"/>
    <mergeCell ref="D988:D989"/>
    <mergeCell ref="Q1028:Q1029"/>
    <mergeCell ref="K1028:K1029"/>
    <mergeCell ref="B1028:B1030"/>
    <mergeCell ref="N1028:N1029"/>
    <mergeCell ref="O1028:O1029"/>
    <mergeCell ref="P1028:P1029"/>
    <mergeCell ref="M1028:M1029"/>
    <mergeCell ref="J1028:J1029"/>
    <mergeCell ref="E1028:E1029"/>
    <mergeCell ref="O939:O940"/>
    <mergeCell ref="F939:I939"/>
    <mergeCell ref="M988:M989"/>
    <mergeCell ref="J988:J989"/>
    <mergeCell ref="O988:O989"/>
    <mergeCell ref="N939:N940"/>
    <mergeCell ref="P988:P989"/>
    <mergeCell ref="Q939:Q940"/>
    <mergeCell ref="P808:P809"/>
    <mergeCell ref="M705:M706"/>
    <mergeCell ref="M808:M809"/>
    <mergeCell ref="L705:L706"/>
    <mergeCell ref="A938:Q938"/>
    <mergeCell ref="A906:A915"/>
    <mergeCell ref="L939:L940"/>
    <mergeCell ref="M939:M940"/>
    <mergeCell ref="A858:A867"/>
    <mergeCell ref="O705:O706"/>
    <mergeCell ref="A752:Q752"/>
    <mergeCell ref="Q705:Q706"/>
    <mergeCell ref="A718:A726"/>
    <mergeCell ref="A727:A735"/>
    <mergeCell ref="N705:N706"/>
    <mergeCell ref="M754:M755"/>
    <mergeCell ref="N754:N755"/>
    <mergeCell ref="A757:A766"/>
    <mergeCell ref="A708:A717"/>
    <mergeCell ref="P705:P706"/>
    <mergeCell ref="A854:Q854"/>
    <mergeCell ref="F808:I808"/>
    <mergeCell ref="J808:J809"/>
    <mergeCell ref="B808:B810"/>
    <mergeCell ref="C808:C810"/>
    <mergeCell ref="D808:D809"/>
    <mergeCell ref="A808:A810"/>
    <mergeCell ref="A841:A850"/>
    <mergeCell ref="A962:A971"/>
    <mergeCell ref="A942:A951"/>
    <mergeCell ref="A952:A961"/>
    <mergeCell ref="B939:B941"/>
    <mergeCell ref="C939:C941"/>
    <mergeCell ref="A972:A981"/>
    <mergeCell ref="D939:D940"/>
    <mergeCell ref="E939:E940"/>
    <mergeCell ref="A878:A887"/>
    <mergeCell ref="A939:A941"/>
    <mergeCell ref="B855:B857"/>
    <mergeCell ref="C855:C857"/>
    <mergeCell ref="A868:A877"/>
    <mergeCell ref="A901:Q901"/>
    <mergeCell ref="A902:Q902"/>
    <mergeCell ref="A903:A905"/>
    <mergeCell ref="B903:B905"/>
    <mergeCell ref="J939:J940"/>
    <mergeCell ref="A888:A897"/>
    <mergeCell ref="A736:A744"/>
    <mergeCell ref="J705:J706"/>
    <mergeCell ref="K705:K706"/>
    <mergeCell ref="F855:I855"/>
    <mergeCell ref="A806:Q806"/>
    <mergeCell ref="A807:Q807"/>
    <mergeCell ref="E808:E809"/>
    <mergeCell ref="P855:P856"/>
    <mergeCell ref="Q808:Q809"/>
    <mergeCell ref="A853:Q853"/>
    <mergeCell ref="A811:A820"/>
    <mergeCell ref="A821:A830"/>
    <mergeCell ref="L808:L809"/>
    <mergeCell ref="O855:O856"/>
    <mergeCell ref="L855:L856"/>
    <mergeCell ref="J855:J856"/>
    <mergeCell ref="A855:A857"/>
    <mergeCell ref="O1134:O1135"/>
    <mergeCell ref="A1134:A1136"/>
    <mergeCell ref="K808:K809"/>
    <mergeCell ref="E855:E856"/>
    <mergeCell ref="K855:K856"/>
    <mergeCell ref="N808:N809"/>
    <mergeCell ref="O808:O809"/>
    <mergeCell ref="N1134:N1135"/>
    <mergeCell ref="A831:A840"/>
    <mergeCell ref="N855:N856"/>
    <mergeCell ref="A1143:A1153"/>
    <mergeCell ref="J1134:J1135"/>
    <mergeCell ref="K1134:K1135"/>
    <mergeCell ref="L1134:L1135"/>
    <mergeCell ref="M1134:M1135"/>
    <mergeCell ref="A1074:A1081"/>
    <mergeCell ref="B1134:B1136"/>
    <mergeCell ref="C1134:C1136"/>
    <mergeCell ref="D1134:D1135"/>
    <mergeCell ref="E1134:E1135"/>
    <mergeCell ref="P1134:P1135"/>
    <mergeCell ref="Q1134:Q1135"/>
    <mergeCell ref="A1132:Q1132"/>
    <mergeCell ref="P939:P940"/>
    <mergeCell ref="A1133:Q1133"/>
    <mergeCell ref="F1134:I1134"/>
    <mergeCell ref="A1103:A1109"/>
    <mergeCell ref="A1110:A1119"/>
    <mergeCell ref="N1093:N1094"/>
    <mergeCell ref="A1096:A1102"/>
    <mergeCell ref="L1093:L1094"/>
    <mergeCell ref="A1082:A1089"/>
    <mergeCell ref="A1091:Q1091"/>
    <mergeCell ref="A1092:Q1092"/>
    <mergeCell ref="A1093:A1095"/>
    <mergeCell ref="B1093:B1095"/>
    <mergeCell ref="Q1093:Q1094"/>
    <mergeCell ref="F1093:I1093"/>
    <mergeCell ref="M1093:M1094"/>
    <mergeCell ref="Q855:Q856"/>
    <mergeCell ref="O1093:O1094"/>
    <mergeCell ref="M855:M856"/>
    <mergeCell ref="A1027:Q1027"/>
    <mergeCell ref="K939:K940"/>
    <mergeCell ref="A1046:A1053"/>
    <mergeCell ref="C1093:C1095"/>
    <mergeCell ref="A1054:A1061"/>
    <mergeCell ref="D855:D856"/>
    <mergeCell ref="A1011:A1020"/>
    <mergeCell ref="A1031:A1038"/>
    <mergeCell ref="D1093:D1094"/>
    <mergeCell ref="P1093:P1094"/>
    <mergeCell ref="A1039:A1045"/>
    <mergeCell ref="A1028:A1030"/>
    <mergeCell ref="C1028:C1030"/>
    <mergeCell ref="L1071:L1072"/>
    <mergeCell ref="E1093:E1094"/>
    <mergeCell ref="J1093:J1094"/>
    <mergeCell ref="K1093:K1094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2013-02-18T13:58:14Z</dcterms:modified>
  <cp:category/>
  <cp:version/>
  <cp:contentType/>
  <cp:contentStatus/>
</cp:coreProperties>
</file>